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CATIA BILIOTTI cartelle al 10dicembre2018FUORI SERVER\TRASPARENZA\BILCONSUNTIVI 2013_2017 SINTETICI formato tabellare aperto\"/>
    </mc:Choice>
  </mc:AlternateContent>
  <xr:revisionPtr revIDLastSave="0" documentId="13_ncr:1_{17ADCEA7-94EA-4D1E-B9ED-2AC93462F32C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StatoPatrimoniale" sheetId="1" r:id="rId1"/>
    <sheet name="ContoEconomico" sheetId="2" r:id="rId2"/>
    <sheet name="Rendiconto Finanziario" sheetId="4" r:id="rId3"/>
  </sheets>
  <definedNames>
    <definedName name="_xlnm.Print_Area" localSheetId="1">ContoEconomico!$A$1:$J$77</definedName>
    <definedName name="_xlnm.Print_Area" localSheetId="2">'Rendiconto Finanziario'!$B$1:$D$76</definedName>
    <definedName name="_xlnm.Print_Area" localSheetId="0">StatoPatrimoniale!$A$1:$F$72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9" i="1"/>
  <c r="B45" i="2" l="1"/>
  <c r="D46" i="4" l="1"/>
  <c r="D42" i="4"/>
  <c r="D50" i="4" l="1"/>
  <c r="B53" i="2" l="1"/>
  <c r="B23" i="2"/>
  <c r="B13" i="2"/>
  <c r="B29" i="2"/>
  <c r="B33" i="2"/>
  <c r="B28" i="2"/>
  <c r="C73" i="2"/>
  <c r="C69" i="2"/>
  <c r="C60" i="2"/>
  <c r="C57" i="2"/>
  <c r="C53" i="2"/>
  <c r="C49" i="2"/>
  <c r="C48" i="2"/>
  <c r="C41" i="2"/>
  <c r="C37" i="2"/>
  <c r="C33" i="2"/>
  <c r="C31" i="2" s="1"/>
  <c r="C29" i="2"/>
  <c r="C28" i="2"/>
  <c r="C21" i="2"/>
  <c r="C20" i="2"/>
  <c r="C19" i="2"/>
  <c r="C18" i="2" s="1"/>
  <c r="C24" i="2" s="1"/>
  <c r="C12" i="2"/>
  <c r="E69" i="1"/>
  <c r="E28" i="1"/>
  <c r="E25" i="1"/>
  <c r="E27" i="1"/>
  <c r="E24" i="1"/>
  <c r="E15" i="1"/>
  <c r="E16" i="1"/>
  <c r="F69" i="1"/>
  <c r="F70" i="1" s="1"/>
  <c r="F55" i="1"/>
  <c r="F46" i="1"/>
  <c r="F29" i="1"/>
  <c r="F24" i="1"/>
  <c r="F14" i="1"/>
  <c r="F13" i="1"/>
  <c r="B51" i="1"/>
  <c r="B28" i="1"/>
  <c r="B26" i="1"/>
  <c r="B25" i="1"/>
  <c r="B24" i="1"/>
  <c r="B23" i="1"/>
  <c r="B18" i="1"/>
  <c r="C70" i="1"/>
  <c r="C61" i="1"/>
  <c r="C57" i="1"/>
  <c r="C51" i="1"/>
  <c r="C48" i="1"/>
  <c r="C33" i="1"/>
  <c r="C30" i="1" s="1"/>
  <c r="C28" i="1"/>
  <c r="C27" i="1"/>
  <c r="C26" i="1"/>
  <c r="C25" i="1"/>
  <c r="C24" i="1"/>
  <c r="C23" i="1"/>
  <c r="C22" i="1"/>
  <c r="C18" i="1"/>
  <c r="C14" i="1" s="1"/>
  <c r="C27" i="2" l="1"/>
  <c r="C50" i="2" s="1"/>
  <c r="C51" i="2" s="1"/>
  <c r="C74" i="2" s="1"/>
  <c r="C76" i="2" s="1"/>
  <c r="C65" i="2"/>
  <c r="C41" i="1"/>
  <c r="C65" i="1" s="1"/>
  <c r="F30" i="1"/>
  <c r="F57" i="1"/>
  <c r="C21" i="1"/>
  <c r="C34" i="1" s="1"/>
  <c r="F21" i="1"/>
  <c r="D59" i="4"/>
  <c r="D36" i="4"/>
  <c r="F72" i="1" l="1"/>
  <c r="C72" i="1"/>
  <c r="E57" i="1"/>
  <c r="B18" i="2" l="1"/>
  <c r="B41" i="2"/>
  <c r="B27" i="1" l="1"/>
  <c r="E30" i="1" l="1"/>
  <c r="B69" i="2" l="1"/>
  <c r="D18" i="4" s="1"/>
  <c r="F73" i="1" l="1"/>
  <c r="B73" i="2"/>
  <c r="B14" i="1" l="1"/>
  <c r="E14" i="1"/>
  <c r="B22" i="1"/>
  <c r="B21" i="1" s="1"/>
  <c r="B31" i="2" l="1"/>
  <c r="B27" i="2" l="1"/>
  <c r="E13" i="1"/>
  <c r="E21" i="1" s="1"/>
  <c r="B60" i="2" l="1"/>
  <c r="B57" i="2"/>
  <c r="B37" i="2"/>
  <c r="D20" i="4" s="1"/>
  <c r="E70" i="1"/>
  <c r="B41" i="1"/>
  <c r="B70" i="1"/>
  <c r="B61" i="1"/>
  <c r="B30" i="1"/>
  <c r="B12" i="2"/>
  <c r="B34" i="1" l="1"/>
  <c r="E72" i="1"/>
  <c r="B65" i="2"/>
  <c r="B50" i="2"/>
  <c r="B65" i="1"/>
  <c r="B72" i="1" s="1"/>
  <c r="B24" i="2"/>
  <c r="D29" i="4" l="1"/>
  <c r="B51" i="2"/>
  <c r="E73" i="1"/>
  <c r="B74" i="2" l="1"/>
  <c r="B76" i="2" l="1"/>
  <c r="D13" i="4" l="1"/>
  <c r="D38" i="4" s="1"/>
  <c r="D74" i="4" s="1"/>
  <c r="D76" i="4" s="1"/>
</calcChain>
</file>

<file path=xl/sharedStrings.xml><?xml version="1.0" encoding="utf-8"?>
<sst xmlns="http://schemas.openxmlformats.org/spreadsheetml/2006/main" count="480" uniqueCount="214">
  <si>
    <t>ATTIVO</t>
  </si>
  <si>
    <t>PASSIVO</t>
  </si>
  <si>
    <t>I. Immobilizzazioni Immateriali</t>
  </si>
  <si>
    <t>1) Costi di impianto e ampliamento</t>
  </si>
  <si>
    <t>2) Costi di ricerca e sviluppo</t>
  </si>
  <si>
    <t>4) concessioni, licenze, marchi e diritti simili</t>
  </si>
  <si>
    <t>5) Altre immobilizzazioni immateriali</t>
  </si>
  <si>
    <t>6) Immobilizzazioni in corso e acconti</t>
  </si>
  <si>
    <t>II. Immobilizzazioni Materiali</t>
  </si>
  <si>
    <t>1) Terreni</t>
  </si>
  <si>
    <t>2) Fabbricati</t>
  </si>
  <si>
    <t>9) Immobilizzazioni in corso e acconti</t>
  </si>
  <si>
    <t>III. Immobilizzazioni Finanziarie</t>
  </si>
  <si>
    <t>con separata indicazione di quelle concesse in locazione finanziaria</t>
  </si>
  <si>
    <t>1) Crediti finanziari</t>
  </si>
  <si>
    <t>Totale Immobizzazioni (A)</t>
  </si>
  <si>
    <t>A) PATRIMONIO NETTO</t>
  </si>
  <si>
    <t>I. Fondo di dotazione</t>
  </si>
  <si>
    <t>II. Riserve</t>
  </si>
  <si>
    <t>1) Riserva legale</t>
  </si>
  <si>
    <t>2) Riserve vincolate ad investimenti</t>
  </si>
  <si>
    <t>3) Altre riserve</t>
  </si>
  <si>
    <t>III. Donazioni e lasciti</t>
  </si>
  <si>
    <t>IV. Utile (perdite) portate a nuovo</t>
  </si>
  <si>
    <t>V. Utile (perdita) di esercizio</t>
  </si>
  <si>
    <t>3) Diritti di brevetto e di utilizzazione opere ingegno</t>
  </si>
  <si>
    <t>Totale Patrimonio Netto (A)</t>
  </si>
  <si>
    <t>B) FONDI PER RISCHI ED ONERI</t>
  </si>
  <si>
    <t>3) Fondo per rischi su crediti</t>
  </si>
  <si>
    <t>4) Fondo per rinnovi contrattuali</t>
  </si>
  <si>
    <t>5) Altri fondi</t>
  </si>
  <si>
    <t>Totale Fondi per rischi ed oneri (B)</t>
  </si>
  <si>
    <t xml:space="preserve"> </t>
  </si>
  <si>
    <t>C) TRATTAMENTO DI FINE RAPPORTO DI LAVORO SUBORDINATO</t>
  </si>
  <si>
    <t>B) ATTIVO CIRCOLANTE</t>
  </si>
  <si>
    <t>D) DEBITI</t>
  </si>
  <si>
    <t>con separata indicazione per ciascuna voce degli importi esigibili entro l'esercizio successivo</t>
  </si>
  <si>
    <t>con separata indicazione per ciascuna voce, degli importi esigibili entro l'esercizio successivo</t>
  </si>
  <si>
    <t>1) Materie prime sussidiarie e di consumo</t>
  </si>
  <si>
    <t>2) Altre</t>
  </si>
  <si>
    <t>3) Acconti</t>
  </si>
  <si>
    <t>II. Crediti</t>
  </si>
  <si>
    <t>I. Rimanenze</t>
  </si>
  <si>
    <t>1) Debiti verso Banche</t>
  </si>
  <si>
    <t>entro 12 mesi</t>
  </si>
  <si>
    <t>oltre 12 mesi</t>
  </si>
  <si>
    <t>2) Debiti verso Regione Toscana</t>
  </si>
  <si>
    <t>3) Debiti verso altri soggetti pubblici</t>
  </si>
  <si>
    <t>con separata indicazione per ciascuna voce, degli</t>
  </si>
  <si>
    <t>importi esigibili entro l'esercizio successivo</t>
  </si>
  <si>
    <t>4) Debiti verso fornitori</t>
  </si>
  <si>
    <t>1) Crediti verso Regione</t>
  </si>
  <si>
    <t>2) Crediti verso altri Enti pubblici</t>
  </si>
  <si>
    <t>5) Debiti Tributari</t>
  </si>
  <si>
    <t>3) Crediti verso soggetti privati</t>
  </si>
  <si>
    <t>4) Crediti verso l'Erario</t>
  </si>
  <si>
    <t>5) Crediti verso altri</t>
  </si>
  <si>
    <t>7) Altri debiti</t>
  </si>
  <si>
    <t>III. Attività Finanziarie che non costituisc.Immobiliz.</t>
  </si>
  <si>
    <t>1) Titoli a breve</t>
  </si>
  <si>
    <t>IV. Disponibilità Liquide</t>
  </si>
  <si>
    <t>1) Cassa</t>
  </si>
  <si>
    <t>2) Banca c/c</t>
  </si>
  <si>
    <t>3) Posta c/c</t>
  </si>
  <si>
    <t>Totale Attivo Circolante (B)</t>
  </si>
  <si>
    <t>Totale Debiti (D)</t>
  </si>
  <si>
    <t>C) RATEI E RISCONTI</t>
  </si>
  <si>
    <t>E) RATEI E RISCONTI</t>
  </si>
  <si>
    <t>TOTALE ATTIVO</t>
  </si>
  <si>
    <t>TOTALE PASSIVO</t>
  </si>
  <si>
    <t>6) debiti verso istituti previdenziali</t>
  </si>
  <si>
    <t>A) IMMOBILIZZAZIONI (valore netto)</t>
  </si>
  <si>
    <t>Totale Ratei e Risconti (E)</t>
  </si>
  <si>
    <t>Totale Ratei e Risconti C)</t>
  </si>
  <si>
    <t>Ratei Attivi</t>
  </si>
  <si>
    <t>Risconti Attivi</t>
  </si>
  <si>
    <t>Ratei Passivi</t>
  </si>
  <si>
    <t>Risconti Passivi</t>
  </si>
  <si>
    <t>Grosseto - Frazione Alberese - Località Pianacce, Via Aurelia Antica</t>
  </si>
  <si>
    <t>Codice Fiscale 80004430536 - Partita I.V.A. 00238180533</t>
  </si>
  <si>
    <t xml:space="preserve">ENTE PARCO REGIONALE DELLA MAREMMA </t>
  </si>
  <si>
    <t>Redatto ai sensi della delibera di G.R. Toscana n. 13 del 14/01/2013</t>
  </si>
  <si>
    <t>A) VALORE DELLA PRODUZIONE</t>
  </si>
  <si>
    <t>A.1) Ricavi delle vendite e delle prestazioni</t>
  </si>
  <si>
    <t>A.1.a) Ricavi prestazioni attività istituzionale</t>
  </si>
  <si>
    <t>A.1.b) Ricavi prestazioni attività commerciale</t>
  </si>
  <si>
    <t>A.2) Variazione delle rimanenze di prodotti in corso di lavorazione,semilavorati e finiti</t>
  </si>
  <si>
    <t>A.3) Variazione dei lavori in corso su ordinazione</t>
  </si>
  <si>
    <t>A.4) Incrementi di immobilizzazioni per lavori interni (costi capitalizzati)</t>
  </si>
  <si>
    <t>A.5) Altri ricavi e proventi</t>
  </si>
  <si>
    <t>A.5.a) Contributi c/esercizio da Regione</t>
  </si>
  <si>
    <t>A.5.b) Contributi c/esercizio da altri Enti Pubblici</t>
  </si>
  <si>
    <t>A.5.d) Costi sterilizzati da utilizzo contributi per investimenti</t>
  </si>
  <si>
    <t>A.5.e) Altri ricavi e proventi,concorsi recuperi e rimborsi</t>
  </si>
  <si>
    <t>Totale valore della produzione (A)</t>
  </si>
  <si>
    <t>B.6) Acquisti di beni</t>
  </si>
  <si>
    <t>B.7) Acquisti di servizi</t>
  </si>
  <si>
    <t>B.7.a) Manutenzioni e riparazioni</t>
  </si>
  <si>
    <t>B.7.b) Altri acquisti di servizi</t>
  </si>
  <si>
    <t>B.8) Godimento di beni di terzi</t>
  </si>
  <si>
    <t>B.9) Personale</t>
  </si>
  <si>
    <t>B.9.a) Salari e stipendi</t>
  </si>
  <si>
    <t>B.9.b) Oneri sociali</t>
  </si>
  <si>
    <t>B.9 c) Trattamento di fine rapporto</t>
  </si>
  <si>
    <t>B.9.d) Trattamento di quiescenza e simili</t>
  </si>
  <si>
    <t>B.9.e) Altri costi</t>
  </si>
  <si>
    <t>B.10) Ammortamenti e svalutazioni</t>
  </si>
  <si>
    <t>B.10.a) Ammortamento immobilizzazioni immateriali</t>
  </si>
  <si>
    <t>B.10.b) Ammortamento immobilizzzioni materiali</t>
  </si>
  <si>
    <t>B.11) Variazione delle rimanenze di materie prime,sussidiarie,di consumo e merci</t>
  </si>
  <si>
    <t>B.12) Accantonamenti per rischi ed oneri</t>
  </si>
  <si>
    <t>B.12.a) Accantonamenti per imposte</t>
  </si>
  <si>
    <t>B.12.c) Accantonamenti per rischi su crediti</t>
  </si>
  <si>
    <t>B.12.e) Accantonamenti per fondo risorse decentrate</t>
  </si>
  <si>
    <t>B.12.f) Accantonamenti per rinnovi contrattuali</t>
  </si>
  <si>
    <t xml:space="preserve">B.13) Altri Accantonamenti </t>
  </si>
  <si>
    <t>B.14) Oneri diversi di gestione</t>
  </si>
  <si>
    <t>Totale costidella produzione (B)</t>
  </si>
  <si>
    <t>DIFFERENZA TRA VALORE E COSTI DELLA PRODUZIONE (A-B)</t>
  </si>
  <si>
    <t>C) PROVENTI ED ONERI FINANZIARI</t>
  </si>
  <si>
    <t>C.1) Interessi attivi</t>
  </si>
  <si>
    <t>C.1.a) Interessi attivi su c/c bancario</t>
  </si>
  <si>
    <t>C.1.b) Interessi attivi su c/c postale</t>
  </si>
  <si>
    <t xml:space="preserve">C.1.c) Altri Interessi attivi </t>
  </si>
  <si>
    <t>C.2) Altri proventi finanziari</t>
  </si>
  <si>
    <t>C.2.a) Proventi finanziari su partecipazioni</t>
  </si>
  <si>
    <t>C.2.b) Altri proventi finanziari su titoli e crediti</t>
  </si>
  <si>
    <t>C.3) Interessi passivi</t>
  </si>
  <si>
    <t>C.3.a) Interessi passivi su c/c bancario</t>
  </si>
  <si>
    <t>C.3.b) Interessi passivi su c/c postale</t>
  </si>
  <si>
    <t>C.3.c) Altri Interessi passivi</t>
  </si>
  <si>
    <t>C.4) Altri oneri finanziari</t>
  </si>
  <si>
    <t>Totale C)</t>
  </si>
  <si>
    <t>D) RETTIFICHE DI VALORE DI  ATTIVITA' FINANZIARIE</t>
  </si>
  <si>
    <t>D.1) Rivalutazioni</t>
  </si>
  <si>
    <t>D.2) Svalutazioni</t>
  </si>
  <si>
    <t>Totale D)</t>
  </si>
  <si>
    <t>E) PROVENTI ED ONERI STRAORDINARI</t>
  </si>
  <si>
    <t>E.1)Proventi straordinari</t>
  </si>
  <si>
    <t>E.2) Oneri straordinari</t>
  </si>
  <si>
    <t>Totale E)</t>
  </si>
  <si>
    <t>Imposte d'esercizio, correnti,differite e anticipate</t>
  </si>
  <si>
    <t>UTILE (O PERDITA) DELL'ESERCIZIO</t>
  </si>
  <si>
    <t>B) COSTI DELLA PRODUZIONE</t>
  </si>
  <si>
    <t>5) Mobili e arredi (22-23-24)</t>
  </si>
  <si>
    <t>6) Automezzi (25)</t>
  </si>
  <si>
    <t>4) Attrezzature (21 e 33)</t>
  </si>
  <si>
    <t xml:space="preserve">entro 12 mesi </t>
  </si>
  <si>
    <t xml:space="preserve">A.5.c) Contributi c/esercizio da altri soggetti </t>
  </si>
  <si>
    <t>7) Altri beni (28-29-32-34)</t>
  </si>
  <si>
    <t>2b) Fondo per contenziosi da risarcimento danni</t>
  </si>
  <si>
    <t xml:space="preserve">Redatto ai sensi della delibera di G.R. Toscana n. 13 del 14/01/2013 </t>
  </si>
  <si>
    <t>RENDICONTO FINANZIARIO ENTE PARCO REGIONALE</t>
  </si>
  <si>
    <t>Schema n. 1: Flusso della gestione reddituale determinato con il metodo indiretto</t>
  </si>
  <si>
    <t>A. Flussi finanziari derivanti dalla gestione reddituale (metodo indiretto)</t>
  </si>
  <si>
    <t>Utile (perdita) dell’esercizio</t>
  </si>
  <si>
    <t>Imposte sul reddito</t>
  </si>
  <si>
    <t>Interessi passivi-Oneri finanziari diversi/(Interessi attivi-Proventi finanziari diversi)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</si>
  <si>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</si>
  <si>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</si>
  <si>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</si>
  <si>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</si>
  <si>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</si>
  <si>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</si>
  <si>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</si>
  <si>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</si>
  <si>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</si>
  <si>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</si>
  <si>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</si>
  <si>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</si>
  <si>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</si>
  <si>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</si>
  <si>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</si>
  <si>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</si>
  <si>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</si>
  <si>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</si>
  <si>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</si>
  <si>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</si>
  <si>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</si>
  <si>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</si>
  <si>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</si>
  <si>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</si>
  <si>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</si>
  <si>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</si>
  <si>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</si>
  <si>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</si>
  <si>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</si>
  <si>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</si>
  <si>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</si>
  <si>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</si>
  <si>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</si>
  <si>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</si>
  <si>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</si>
  <si>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</si>
  <si>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</si>
  <si>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</si>
  <si>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</si>
  <si>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</si>
  <si>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</si>
  <si>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 xml:space="preserve">Disponibilità liquide al 1 gennaio </t>
  </si>
  <si>
    <t xml:space="preserve">Disponibilità liquide al 31 dicembre </t>
  </si>
  <si>
    <t>3) Impianti e macchinari(17 e 35)</t>
  </si>
  <si>
    <t xml:space="preserve">1) Fondo imposte </t>
  </si>
  <si>
    <t>RISULTATO PRIMA DELLE IMPOSTE (AB +-C+-D)</t>
  </si>
  <si>
    <t>2. Flusso finanziario prima delle variazioni del capitale circolante netto</t>
  </si>
  <si>
    <t>3. Flusso finanziario dopo le variazioni del capitale circolante netto</t>
  </si>
  <si>
    <t>Bilancio dell'esercizio dal 01/01/2018 al 31/12/2018</t>
  </si>
  <si>
    <t xml:space="preserve">2) Partecipazioni </t>
  </si>
  <si>
    <t>STATO PATRIMONIALE AL 31/12/2018</t>
  </si>
  <si>
    <t>2a) Fondo per cause legali in corso</t>
  </si>
  <si>
    <t>2018</t>
  </si>
  <si>
    <t>CONTO ECONOMICO AL 31/12/2018</t>
  </si>
  <si>
    <t>B.12.b) Accantonamenti per cause legali in corso</t>
  </si>
  <si>
    <t xml:space="preserve">B.12.d) Accantonamenti da risarcimento danni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</si>
</sst>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theme="5" tint="-0.249977111117893"/>
      <name val="Calibri"/>
      <family val="2"/>
    </font>
    <font>
      <b/>
      <sz val="10"/>
      <color rgb="FF00B0F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3" fillId="2" borderId="0" xfId="0" applyFont="1" applyFill="1" applyAlignment="1">
      <alignment horizontal="center"/>
    </xf>
    <xf numFmtId="4" fontId="4" fillId="2" borderId="0" xfId="0" applyNumberFormat="1" applyFont="1" applyFill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5" fillId="2" borderId="0" xfId="0" applyNumberFormat="1" applyFont="1" applyFill="1"/>
    <xf numFmtId="4" fontId="4" fillId="0" borderId="0" xfId="0" applyNumberFormat="1" applyFont="1"/>
    <xf numFmtId="0" fontId="4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7" fillId="8" borderId="0" xfId="1" applyFont="1" applyFill="1"/>
    <xf numFmtId="4" fontId="7" fillId="8" borderId="0" xfId="1" applyNumberFormat="1" applyFont="1" applyFill="1" applyAlignment="1">
      <alignment horizontal="right"/>
    </xf>
    <xf numFmtId="0" fontId="7" fillId="0" borderId="0" xfId="1" applyFont="1"/>
    <xf numFmtId="0" fontId="8" fillId="8" borderId="0" xfId="1" applyFont="1" applyFill="1"/>
    <xf numFmtId="49" fontId="8" fillId="8" borderId="0" xfId="1" applyNumberFormat="1" applyFont="1" applyFill="1" applyAlignment="1">
      <alignment horizontal="center"/>
    </xf>
    <xf numFmtId="4" fontId="8" fillId="8" borderId="0" xfId="1" applyNumberFormat="1" applyFont="1" applyFill="1" applyAlignment="1">
      <alignment horizontal="right"/>
    </xf>
    <xf numFmtId="0" fontId="8" fillId="0" borderId="0" xfId="1" applyFont="1" applyFill="1"/>
    <xf numFmtId="4" fontId="8" fillId="7" borderId="0" xfId="1" applyNumberFormat="1" applyFont="1" applyFill="1" applyAlignment="1">
      <alignment horizontal="right"/>
    </xf>
    <xf numFmtId="4" fontId="7" fillId="7" borderId="0" xfId="1" applyNumberFormat="1" applyFont="1" applyFill="1" applyAlignment="1">
      <alignment horizontal="right"/>
    </xf>
    <xf numFmtId="0" fontId="8" fillId="0" borderId="0" xfId="1" applyFont="1" applyAlignment="1">
      <alignment horizontal="right" wrapText="1"/>
    </xf>
    <xf numFmtId="164" fontId="7" fillId="0" borderId="0" xfId="1" applyNumberFormat="1" applyFont="1"/>
    <xf numFmtId="0" fontId="8" fillId="0" borderId="0" xfId="1" applyFont="1" applyAlignment="1">
      <alignment wrapText="1"/>
    </xf>
    <xf numFmtId="4" fontId="7" fillId="0" borderId="0" xfId="1" applyNumberFormat="1" applyFont="1" applyFill="1" applyAlignment="1">
      <alignment horizontal="right"/>
    </xf>
    <xf numFmtId="0" fontId="8" fillId="8" borderId="0" xfId="1" applyFont="1" applyFill="1" applyBorder="1" applyAlignment="1">
      <alignment wrapText="1"/>
    </xf>
    <xf numFmtId="0" fontId="8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8" borderId="0" xfId="1" applyFont="1" applyFill="1" applyAlignment="1">
      <alignment wrapText="1"/>
    </xf>
    <xf numFmtId="0" fontId="8" fillId="8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8" fillId="8" borderId="0" xfId="1" applyFont="1" applyFill="1" applyAlignment="1">
      <alignment horizontal="right" wrapText="1"/>
    </xf>
    <xf numFmtId="4" fontId="7" fillId="0" borderId="0" xfId="1" applyNumberFormat="1" applyFont="1"/>
    <xf numFmtId="14" fontId="9" fillId="3" borderId="0" xfId="0" applyNumberFormat="1" applyFont="1" applyFill="1" applyAlignment="1">
      <alignment vertical="center"/>
    </xf>
    <xf numFmtId="4" fontId="10" fillId="5" borderId="0" xfId="0" applyNumberFormat="1" applyFont="1" applyFill="1" applyBorder="1"/>
    <xf numFmtId="4" fontId="10" fillId="5" borderId="0" xfId="0" applyNumberFormat="1" applyFont="1" applyFill="1"/>
    <xf numFmtId="0" fontId="10" fillId="0" borderId="0" xfId="0" applyFont="1" applyBorder="1" applyAlignment="1">
      <alignment wrapText="1"/>
    </xf>
    <xf numFmtId="4" fontId="9" fillId="5" borderId="0" xfId="0" applyNumberFormat="1" applyFont="1" applyFill="1"/>
    <xf numFmtId="4" fontId="9" fillId="5" borderId="0" xfId="0" applyNumberFormat="1" applyFont="1" applyFill="1" applyBorder="1"/>
    <xf numFmtId="4" fontId="10" fillId="5" borderId="0" xfId="0" applyNumberFormat="1" applyFont="1" applyFill="1" applyBorder="1" applyAlignment="1">
      <alignment horizontal="right"/>
    </xf>
    <xf numFmtId="4" fontId="9" fillId="3" borderId="0" xfId="0" applyNumberFormat="1" applyFont="1" applyFill="1"/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/>
    <xf numFmtId="4" fontId="9" fillId="3" borderId="0" xfId="0" applyNumberFormat="1" applyFont="1" applyFill="1" applyBorder="1"/>
    <xf numFmtId="0" fontId="10" fillId="0" borderId="0" xfId="0" applyFont="1" applyAlignment="1">
      <alignment vertical="top" wrapText="1"/>
    </xf>
    <xf numFmtId="4" fontId="9" fillId="6" borderId="0" xfId="0" applyNumberFormat="1" applyFont="1" applyFill="1" applyBorder="1"/>
    <xf numFmtId="4" fontId="9" fillId="6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9" fillId="6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10" fillId="2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vertical="top" wrapText="1"/>
    </xf>
    <xf numFmtId="4" fontId="9" fillId="3" borderId="0" xfId="0" applyNumberFormat="1" applyFont="1" applyFill="1" applyBorder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10" fontId="4" fillId="0" borderId="0" xfId="0" applyNumberFormat="1" applyFont="1" applyFill="1"/>
    <xf numFmtId="4" fontId="4" fillId="0" borderId="0" xfId="0" applyNumberFormat="1" applyFont="1" applyFill="1" applyBorder="1"/>
    <xf numFmtId="10" fontId="4" fillId="0" borderId="0" xfId="0" applyNumberFormat="1" applyFont="1" applyFill="1" applyBorder="1"/>
    <xf numFmtId="10" fontId="12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/>
    <xf numFmtId="10" fontId="11" fillId="0" borderId="0" xfId="0" applyNumberFormat="1" applyFont="1" applyFill="1"/>
    <xf numFmtId="4" fontId="3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left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99FF66"/>
      <color rgb="FFB7C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opLeftCell="A64" zoomScale="120" zoomScaleNormal="120" workbookViewId="0">
      <selection activeCell="F95" sqref="F95"/>
    </sheetView>
  </sheetViews>
  <sheetFormatPr defaultRowHeight="12.75" x14ac:dyDescent="0.2"/>
  <cols>
    <col min="1" max="1" width="24.28515625" style="56" customWidth="1"/>
    <col min="2" max="3" width="10" style="5" bestFit="1" customWidth="1"/>
    <col min="4" max="4" width="27.85546875" style="56" customWidth="1"/>
    <col min="5" max="5" width="11" style="5" customWidth="1"/>
    <col min="6" max="6" width="11.42578125" style="5" customWidth="1"/>
    <col min="7" max="7" width="10.42578125" style="87" bestFit="1" customWidth="1"/>
    <col min="8" max="8" width="11.28515625" style="88" bestFit="1" customWidth="1"/>
    <col min="9" max="9" width="9.85546875" style="89" bestFit="1" customWidth="1"/>
    <col min="10" max="10" width="12.28515625" style="89" bestFit="1" customWidth="1"/>
    <col min="11" max="11" width="11.7109375" style="87" bestFit="1" customWidth="1"/>
    <col min="12" max="14" width="9.140625" style="87"/>
    <col min="15" max="16384" width="9.140625" style="5"/>
  </cols>
  <sheetData>
    <row r="1" spans="1:15" ht="28.5" customHeight="1" x14ac:dyDescent="0.2">
      <c r="A1" s="82" t="s">
        <v>80</v>
      </c>
      <c r="B1" s="82"/>
      <c r="C1" s="82"/>
      <c r="D1" s="82"/>
      <c r="E1" s="82"/>
      <c r="F1" s="82"/>
    </row>
    <row r="2" spans="1:15" x14ac:dyDescent="0.2">
      <c r="A2" s="83" t="s">
        <v>78</v>
      </c>
      <c r="B2" s="83"/>
      <c r="C2" s="83"/>
      <c r="D2" s="83"/>
      <c r="E2" s="83"/>
      <c r="F2" s="83"/>
      <c r="G2" s="16"/>
      <c r="H2" s="90"/>
      <c r="I2" s="91"/>
      <c r="J2" s="91"/>
      <c r="K2" s="16"/>
      <c r="L2" s="16"/>
      <c r="M2" s="16"/>
      <c r="N2" s="16"/>
      <c r="O2" s="6"/>
    </row>
    <row r="3" spans="1:15" x14ac:dyDescent="0.2">
      <c r="A3" s="83" t="s">
        <v>79</v>
      </c>
      <c r="B3" s="83"/>
      <c r="C3" s="83"/>
      <c r="D3" s="83"/>
      <c r="E3" s="83"/>
      <c r="F3" s="83"/>
      <c r="G3" s="16"/>
      <c r="H3" s="90"/>
      <c r="I3" s="91"/>
      <c r="J3" s="91"/>
      <c r="K3" s="16"/>
      <c r="L3" s="16"/>
      <c r="M3" s="16"/>
      <c r="N3" s="16"/>
      <c r="O3" s="6"/>
    </row>
    <row r="4" spans="1:15" x14ac:dyDescent="0.2">
      <c r="A4" s="55"/>
      <c r="B4" s="7"/>
      <c r="C4" s="7"/>
      <c r="D4" s="55"/>
      <c r="E4" s="7"/>
      <c r="F4" s="18"/>
      <c r="G4" s="16"/>
      <c r="H4" s="90"/>
      <c r="I4" s="91"/>
      <c r="J4" s="91"/>
      <c r="K4" s="16"/>
      <c r="L4" s="16"/>
      <c r="M4" s="16"/>
      <c r="N4" s="16"/>
      <c r="O4" s="6"/>
    </row>
    <row r="5" spans="1:15" x14ac:dyDescent="0.2">
      <c r="G5" s="16"/>
      <c r="H5" s="90"/>
      <c r="I5" s="91"/>
      <c r="J5" s="91"/>
      <c r="K5" s="16"/>
      <c r="L5" s="16"/>
      <c r="M5" s="16"/>
      <c r="N5" s="16"/>
      <c r="O5" s="6"/>
    </row>
    <row r="6" spans="1:15" ht="20.100000000000001" customHeight="1" x14ac:dyDescent="0.2">
      <c r="A6" s="84" t="s">
        <v>206</v>
      </c>
      <c r="B6" s="84"/>
      <c r="C6" s="84"/>
      <c r="D6" s="84"/>
      <c r="E6" s="84"/>
      <c r="F6" s="84"/>
      <c r="G6" s="16"/>
      <c r="H6" s="90"/>
      <c r="I6" s="91"/>
      <c r="J6" s="91"/>
      <c r="K6" s="16"/>
      <c r="L6" s="16"/>
      <c r="M6" s="16"/>
      <c r="N6" s="16"/>
      <c r="O6" s="6"/>
    </row>
    <row r="7" spans="1:15" ht="20.100000000000001" customHeight="1" x14ac:dyDescent="0.2">
      <c r="A7" s="84" t="s">
        <v>151</v>
      </c>
      <c r="B7" s="84"/>
      <c r="C7" s="84"/>
      <c r="D7" s="84"/>
      <c r="E7" s="84"/>
      <c r="F7" s="84"/>
      <c r="G7" s="16"/>
      <c r="H7" s="90"/>
      <c r="I7" s="91"/>
      <c r="J7" s="91"/>
      <c r="K7" s="16"/>
      <c r="L7" s="16"/>
      <c r="M7" s="16"/>
      <c r="N7" s="16"/>
      <c r="O7" s="6"/>
    </row>
    <row r="8" spans="1:15" x14ac:dyDescent="0.2">
      <c r="G8" s="16"/>
      <c r="H8" s="90"/>
      <c r="I8" s="91"/>
      <c r="J8" s="91"/>
      <c r="K8" s="16"/>
      <c r="L8" s="16"/>
      <c r="M8" s="16"/>
      <c r="N8" s="16"/>
      <c r="O8" s="6"/>
    </row>
    <row r="9" spans="1:15" ht="15.75" customHeight="1" x14ac:dyDescent="0.2">
      <c r="A9" s="81" t="s">
        <v>208</v>
      </c>
      <c r="B9" s="81"/>
      <c r="C9" s="81"/>
      <c r="D9" s="81"/>
      <c r="E9" s="81"/>
      <c r="F9" s="81"/>
      <c r="G9" s="16"/>
      <c r="H9" s="90"/>
      <c r="I9" s="91"/>
      <c r="J9" s="91"/>
      <c r="K9" s="16"/>
      <c r="L9" s="16"/>
      <c r="M9" s="16"/>
      <c r="N9" s="16"/>
      <c r="O9" s="6"/>
    </row>
    <row r="10" spans="1:15" x14ac:dyDescent="0.2">
      <c r="A10" s="81"/>
      <c r="B10" s="81"/>
      <c r="C10" s="81"/>
      <c r="D10" s="81"/>
      <c r="E10" s="81"/>
      <c r="F10" s="81"/>
      <c r="G10" s="16"/>
      <c r="H10" s="90"/>
      <c r="I10" s="91"/>
      <c r="J10" s="91"/>
      <c r="K10" s="16"/>
      <c r="L10" s="16"/>
      <c r="M10" s="16"/>
      <c r="N10" s="16"/>
      <c r="O10" s="6"/>
    </row>
    <row r="11" spans="1:15" ht="28.5" customHeight="1" x14ac:dyDescent="0.2">
      <c r="A11" s="57" t="s">
        <v>0</v>
      </c>
      <c r="B11" s="41">
        <v>43465</v>
      </c>
      <c r="C11" s="41">
        <v>43100</v>
      </c>
      <c r="D11" s="64" t="s">
        <v>1</v>
      </c>
      <c r="E11" s="41">
        <v>43465</v>
      </c>
      <c r="F11" s="41">
        <v>43100</v>
      </c>
      <c r="G11" s="16"/>
      <c r="H11" s="90"/>
      <c r="I11" s="91"/>
      <c r="J11" s="91"/>
      <c r="K11" s="16"/>
      <c r="L11" s="16"/>
      <c r="M11" s="16"/>
      <c r="N11" s="16"/>
      <c r="O11" s="6"/>
    </row>
    <row r="12" spans="1:15" ht="22.5" x14ac:dyDescent="0.2">
      <c r="A12" s="58" t="s">
        <v>71</v>
      </c>
      <c r="B12" s="42"/>
      <c r="C12" s="42"/>
      <c r="D12" s="65" t="s">
        <v>16</v>
      </c>
      <c r="E12" s="43"/>
      <c r="F12" s="43"/>
      <c r="G12" s="16"/>
      <c r="H12" s="90"/>
      <c r="I12" s="91"/>
      <c r="J12" s="91"/>
      <c r="K12" s="16"/>
      <c r="L12" s="16"/>
      <c r="M12" s="16"/>
      <c r="N12" s="16"/>
      <c r="O12" s="6"/>
    </row>
    <row r="13" spans="1:15" ht="23.25" customHeight="1" x14ac:dyDescent="0.2">
      <c r="A13" s="44" t="s">
        <v>13</v>
      </c>
      <c r="B13" s="42"/>
      <c r="C13" s="42"/>
      <c r="D13" s="65" t="s">
        <v>17</v>
      </c>
      <c r="E13" s="45">
        <f>348656.24-4741.14</f>
        <v>343915.1</v>
      </c>
      <c r="F13" s="45">
        <f>348656.24-4741.14</f>
        <v>343915.1</v>
      </c>
      <c r="G13" s="90"/>
      <c r="H13" s="90"/>
      <c r="I13" s="91"/>
      <c r="J13" s="91"/>
      <c r="K13" s="16"/>
      <c r="L13" s="16"/>
      <c r="M13" s="16"/>
      <c r="N13" s="16"/>
      <c r="O13" s="6"/>
    </row>
    <row r="14" spans="1:15" x14ac:dyDescent="0.2">
      <c r="A14" s="58" t="s">
        <v>2</v>
      </c>
      <c r="B14" s="46">
        <f>SUM(B15:B20)</f>
        <v>1800.8100000000013</v>
      </c>
      <c r="C14" s="46">
        <f>SUM(C15:C20)</f>
        <v>2807.3499999999985</v>
      </c>
      <c r="D14" s="65" t="s">
        <v>18</v>
      </c>
      <c r="E14" s="45">
        <f>SUM(E15:E17)</f>
        <v>287258.29000000004</v>
      </c>
      <c r="F14" s="45">
        <f>SUM(F15:F17)</f>
        <v>214914.29</v>
      </c>
      <c r="G14" s="16"/>
      <c r="H14" s="90"/>
      <c r="I14" s="91"/>
      <c r="J14" s="91"/>
      <c r="K14" s="16"/>
      <c r="L14" s="16"/>
      <c r="M14" s="16"/>
      <c r="N14" s="16"/>
      <c r="O14" s="6"/>
    </row>
    <row r="15" spans="1:15" ht="22.5" x14ac:dyDescent="0.2">
      <c r="A15" s="44" t="s">
        <v>3</v>
      </c>
      <c r="B15" s="42"/>
      <c r="C15" s="42"/>
      <c r="D15" s="66" t="s">
        <v>19</v>
      </c>
      <c r="E15" s="43">
        <f>24504.6+(72344*20%)</f>
        <v>38973.4</v>
      </c>
      <c r="F15" s="43">
        <v>24504.6</v>
      </c>
      <c r="G15" s="16"/>
      <c r="I15" s="91"/>
      <c r="J15" s="91"/>
      <c r="K15" s="16"/>
      <c r="L15" s="16"/>
      <c r="M15" s="16"/>
      <c r="N15" s="16"/>
      <c r="O15" s="6"/>
    </row>
    <row r="16" spans="1:15" x14ac:dyDescent="0.2">
      <c r="A16" s="44" t="s">
        <v>4</v>
      </c>
      <c r="B16" s="42"/>
      <c r="C16" s="42"/>
      <c r="D16" s="66" t="s">
        <v>20</v>
      </c>
      <c r="E16" s="43">
        <f>190409.69+(72344*80%)</f>
        <v>248284.89</v>
      </c>
      <c r="F16" s="43">
        <v>190409.69</v>
      </c>
      <c r="G16" s="90"/>
      <c r="H16" s="90"/>
      <c r="I16" s="91"/>
      <c r="J16" s="91"/>
      <c r="K16" s="16"/>
      <c r="L16" s="16"/>
      <c r="M16" s="16"/>
      <c r="N16" s="16"/>
      <c r="O16" s="6"/>
    </row>
    <row r="17" spans="1:15" ht="22.5" x14ac:dyDescent="0.2">
      <c r="A17" s="44" t="s">
        <v>25</v>
      </c>
      <c r="B17" s="42"/>
      <c r="C17" s="42"/>
      <c r="D17" s="66" t="s">
        <v>21</v>
      </c>
      <c r="E17" s="43"/>
      <c r="F17" s="43"/>
      <c r="G17" s="16"/>
      <c r="H17" s="90"/>
      <c r="I17" s="91"/>
      <c r="J17" s="91"/>
      <c r="K17" s="16"/>
      <c r="L17" s="16"/>
      <c r="M17" s="16"/>
      <c r="N17" s="16"/>
      <c r="O17" s="6"/>
    </row>
    <row r="18" spans="1:15" ht="22.5" x14ac:dyDescent="0.2">
      <c r="A18" s="44" t="s">
        <v>5</v>
      </c>
      <c r="B18" s="47">
        <f>21358.75-19557.94</f>
        <v>1800.8100000000013</v>
      </c>
      <c r="C18" s="47">
        <f>21358.75-18551.4</f>
        <v>2807.3499999999985</v>
      </c>
      <c r="D18" s="65" t="s">
        <v>22</v>
      </c>
      <c r="E18" s="45">
        <v>20266.5</v>
      </c>
      <c r="F18" s="45">
        <v>20266.5</v>
      </c>
      <c r="G18" s="90"/>
      <c r="H18" s="90"/>
      <c r="I18" s="91"/>
      <c r="J18" s="91"/>
      <c r="K18" s="16"/>
      <c r="L18" s="16"/>
      <c r="M18" s="16"/>
      <c r="N18" s="16"/>
      <c r="O18" s="6"/>
    </row>
    <row r="19" spans="1:15" ht="22.5" x14ac:dyDescent="0.2">
      <c r="A19" s="44" t="s">
        <v>6</v>
      </c>
      <c r="B19" s="42"/>
      <c r="C19" s="42"/>
      <c r="D19" s="65" t="s">
        <v>23</v>
      </c>
      <c r="E19" s="43">
        <v>0</v>
      </c>
      <c r="F19" s="43">
        <v>0</v>
      </c>
      <c r="G19" s="16"/>
      <c r="H19" s="90"/>
      <c r="I19" s="91"/>
      <c r="J19" s="91"/>
      <c r="K19" s="16"/>
      <c r="L19" s="16"/>
      <c r="M19" s="16"/>
      <c r="N19" s="16"/>
      <c r="O19" s="6"/>
    </row>
    <row r="20" spans="1:15" ht="22.5" x14ac:dyDescent="0.2">
      <c r="A20" s="44" t="s">
        <v>7</v>
      </c>
      <c r="B20" s="42"/>
      <c r="C20" s="42"/>
      <c r="D20" s="65" t="s">
        <v>24</v>
      </c>
      <c r="E20" s="45">
        <v>54.74</v>
      </c>
      <c r="F20" s="45">
        <v>72344</v>
      </c>
      <c r="G20" s="16"/>
      <c r="H20" s="90"/>
      <c r="I20" s="91"/>
      <c r="J20" s="91"/>
      <c r="K20" s="16"/>
      <c r="L20" s="16"/>
      <c r="M20" s="16"/>
      <c r="N20" s="16"/>
      <c r="O20" s="6"/>
    </row>
    <row r="21" spans="1:15" x14ac:dyDescent="0.2">
      <c r="A21" s="58" t="s">
        <v>8</v>
      </c>
      <c r="B21" s="46">
        <f>SUM(B22:B29)</f>
        <v>1121578.3900000001</v>
      </c>
      <c r="C21" s="46">
        <f>SUM(C22:C29)</f>
        <v>1027531.7100000002</v>
      </c>
      <c r="D21" s="67" t="s">
        <v>26</v>
      </c>
      <c r="E21" s="48">
        <f>E13+E14+E18+E19+E20</f>
        <v>651494.63</v>
      </c>
      <c r="F21" s="48">
        <f>F13+F14+F18+F19+F20</f>
        <v>651439.89</v>
      </c>
      <c r="G21" s="90"/>
      <c r="H21" s="90"/>
      <c r="I21" s="91"/>
      <c r="J21" s="92"/>
      <c r="K21" s="92"/>
      <c r="L21" s="16"/>
      <c r="M21" s="16"/>
      <c r="N21" s="16"/>
      <c r="O21" s="6"/>
    </row>
    <row r="22" spans="1:15" x14ac:dyDescent="0.2">
      <c r="A22" s="44" t="s">
        <v>9</v>
      </c>
      <c r="B22" s="47">
        <f>55342.52+12670.83+24377.91+20266.5</f>
        <v>112657.76</v>
      </c>
      <c r="C22" s="47">
        <f>55342.52+12670.83+24377.91+20266.5</f>
        <v>112657.76</v>
      </c>
      <c r="D22" s="65"/>
      <c r="E22" s="43"/>
      <c r="F22" s="43"/>
      <c r="G22" s="16"/>
      <c r="H22" s="90"/>
      <c r="I22" s="91"/>
      <c r="J22" s="91"/>
      <c r="K22" s="92"/>
      <c r="L22" s="16"/>
      <c r="M22" s="16"/>
      <c r="N22" s="16"/>
      <c r="O22" s="6"/>
    </row>
    <row r="23" spans="1:15" x14ac:dyDescent="0.2">
      <c r="A23" s="44" t="s">
        <v>10</v>
      </c>
      <c r="B23" s="47">
        <f>693403.92+636004.93+194845.17+86612.87-322432.84-295742.3-74756.02-1299.19</f>
        <v>916636.54</v>
      </c>
      <c r="C23" s="47">
        <f>693403.92+636004.93+148194.96-301630.72-276662.15-68910.66</f>
        <v>830400.28</v>
      </c>
      <c r="D23" s="65" t="s">
        <v>27</v>
      </c>
      <c r="E23" s="43"/>
      <c r="F23" s="43"/>
      <c r="G23" s="16"/>
      <c r="H23" s="90"/>
      <c r="I23" s="91"/>
      <c r="J23" s="91"/>
      <c r="K23" s="93"/>
      <c r="L23" s="16"/>
      <c r="M23" s="16"/>
      <c r="N23" s="16"/>
      <c r="O23" s="6"/>
    </row>
    <row r="24" spans="1:15" x14ac:dyDescent="0.2">
      <c r="A24" s="44" t="s">
        <v>201</v>
      </c>
      <c r="B24" s="47">
        <f>30917.86+17886.89-14061.94-7755.15</f>
        <v>26987.659999999996</v>
      </c>
      <c r="C24" s="47">
        <f>30917.86+17886.89-10316.18-5519.29</f>
        <v>32969.279999999999</v>
      </c>
      <c r="D24" s="66" t="s">
        <v>202</v>
      </c>
      <c r="E24" s="43">
        <f>19808.36+2044.46-2809.14</f>
        <v>19043.68</v>
      </c>
      <c r="F24" s="43">
        <f>14246.28+5541.18+20.9</f>
        <v>19808.36</v>
      </c>
      <c r="G24" s="90"/>
      <c r="H24" s="90"/>
      <c r="I24" s="91"/>
      <c r="J24" s="91"/>
      <c r="K24" s="93"/>
      <c r="L24" s="16"/>
      <c r="M24" s="16"/>
      <c r="N24" s="16"/>
      <c r="O24" s="6"/>
    </row>
    <row r="25" spans="1:15" x14ac:dyDescent="0.2">
      <c r="A25" s="44" t="s">
        <v>146</v>
      </c>
      <c r="B25" s="47">
        <f>93231.18+397.95-64942.14-397.95</f>
        <v>28289.03999999999</v>
      </c>
      <c r="C25" s="47">
        <f>83349.18+397.95-59999.39-397.95</f>
        <v>23349.78999999999</v>
      </c>
      <c r="D25" s="66" t="s">
        <v>209</v>
      </c>
      <c r="E25" s="43">
        <f>9406.92+10000-4462.92</f>
        <v>14943.999999999998</v>
      </c>
      <c r="F25" s="43">
        <v>9406.92</v>
      </c>
      <c r="G25" s="90"/>
      <c r="H25" s="90"/>
      <c r="I25" s="91"/>
      <c r="J25" s="91"/>
      <c r="K25" s="93"/>
      <c r="L25" s="16"/>
      <c r="M25" s="16"/>
      <c r="N25" s="16"/>
      <c r="O25" s="6"/>
    </row>
    <row r="26" spans="1:15" ht="22.5" x14ac:dyDescent="0.2">
      <c r="A26" s="44" t="s">
        <v>144</v>
      </c>
      <c r="B26" s="47">
        <f>57758.23+19957.81+74039.92-57758.23-16538.46-68641</f>
        <v>8818.2700000000186</v>
      </c>
      <c r="C26" s="47">
        <f>57758.23+19957.81+74039.92-57536.38-16020.71-67295.04</f>
        <v>10903.830000000031</v>
      </c>
      <c r="D26" s="66" t="s">
        <v>150</v>
      </c>
      <c r="E26" s="43">
        <f>11557.11+4000+12307+14716.8-10807.2-4000</f>
        <v>27773.710000000003</v>
      </c>
      <c r="F26" s="43">
        <v>11557.11</v>
      </c>
      <c r="I26" s="91"/>
      <c r="J26" s="91"/>
      <c r="K26" s="93"/>
      <c r="L26" s="16"/>
      <c r="M26" s="16"/>
      <c r="N26" s="16"/>
      <c r="O26" s="6"/>
    </row>
    <row r="27" spans="1:15" x14ac:dyDescent="0.2">
      <c r="A27" s="44" t="s">
        <v>145</v>
      </c>
      <c r="B27" s="47">
        <f>5000-5000</f>
        <v>0</v>
      </c>
      <c r="C27" s="47">
        <f>5000-5000</f>
        <v>0</v>
      </c>
      <c r="D27" s="66" t="s">
        <v>28</v>
      </c>
      <c r="E27" s="43">
        <f>66434.34+24157.43-62087.51</f>
        <v>28504.259999999987</v>
      </c>
      <c r="F27" s="43">
        <v>66434.34</v>
      </c>
      <c r="G27" s="16"/>
      <c r="H27" s="90"/>
      <c r="I27" s="91"/>
      <c r="J27" s="91"/>
      <c r="K27" s="93"/>
      <c r="L27" s="16"/>
      <c r="M27" s="16"/>
      <c r="N27" s="16"/>
      <c r="O27" s="6"/>
    </row>
    <row r="28" spans="1:15" x14ac:dyDescent="0.2">
      <c r="A28" s="44" t="s">
        <v>149</v>
      </c>
      <c r="B28" s="47">
        <f>45124.4+80415.17+30332.63+9838.06-45124.4-62291.05-20267.63-9838.06</f>
        <v>28189.12000000001</v>
      </c>
      <c r="C28" s="47">
        <f>45124.4+73525.18+20267.63+9838.06-45124.4-56274.41-20267.63-9838.06</f>
        <v>17250.76999999999</v>
      </c>
      <c r="D28" s="66" t="s">
        <v>29</v>
      </c>
      <c r="E28" s="43">
        <f>12692.03+8000-10876.19</f>
        <v>9815.8399999999983</v>
      </c>
      <c r="F28" s="43">
        <v>12692.03</v>
      </c>
      <c r="G28" s="90"/>
      <c r="H28" s="90"/>
      <c r="I28" s="91"/>
      <c r="J28" s="91"/>
      <c r="K28" s="93"/>
      <c r="L28" s="16"/>
      <c r="M28" s="16"/>
      <c r="N28" s="16"/>
      <c r="O28" s="6"/>
    </row>
    <row r="29" spans="1:15" ht="22.5" x14ac:dyDescent="0.2">
      <c r="A29" s="44" t="s">
        <v>11</v>
      </c>
      <c r="B29" s="47"/>
      <c r="C29" s="47"/>
      <c r="D29" s="66" t="s">
        <v>30</v>
      </c>
      <c r="E29" s="43">
        <f>129645.33+7500+83458.82+8485.9+13470.98-22684.02</f>
        <v>219877.01000000004</v>
      </c>
      <c r="F29" s="43">
        <f>129645.33+4000+7500+83458.82</f>
        <v>224604.15000000002</v>
      </c>
      <c r="G29" s="90"/>
      <c r="H29" s="90"/>
      <c r="I29" s="91"/>
      <c r="J29" s="91"/>
      <c r="K29" s="93"/>
      <c r="L29" s="16"/>
      <c r="M29" s="16"/>
      <c r="N29" s="16"/>
      <c r="O29" s="6"/>
    </row>
    <row r="30" spans="1:15" x14ac:dyDescent="0.2">
      <c r="A30" s="58" t="s">
        <v>12</v>
      </c>
      <c r="B30" s="46">
        <f>SUM(B32:B33)</f>
        <v>0</v>
      </c>
      <c r="C30" s="46">
        <f>SUM(C32:C33)</f>
        <v>5160</v>
      </c>
      <c r="D30" s="67" t="s">
        <v>31</v>
      </c>
      <c r="E30" s="48">
        <f>SUM(E24:E29)</f>
        <v>319958.5</v>
      </c>
      <c r="F30" s="48">
        <f>SUM(F24:F29)</f>
        <v>344502.91000000003</v>
      </c>
      <c r="G30" s="90"/>
      <c r="H30" s="90"/>
      <c r="I30" s="91"/>
      <c r="J30" s="92"/>
      <c r="K30" s="92"/>
      <c r="L30" s="16"/>
      <c r="M30" s="16"/>
      <c r="N30" s="16"/>
      <c r="O30" s="6"/>
    </row>
    <row r="31" spans="1:15" ht="45" x14ac:dyDescent="0.2">
      <c r="A31" s="44" t="s">
        <v>36</v>
      </c>
      <c r="B31" s="42"/>
      <c r="C31" s="42"/>
      <c r="D31" s="66" t="s">
        <v>32</v>
      </c>
      <c r="E31" s="43"/>
      <c r="F31" s="43"/>
      <c r="G31" s="16"/>
      <c r="H31" s="90"/>
      <c r="I31" s="91"/>
      <c r="J31" s="91"/>
      <c r="K31" s="16"/>
      <c r="L31" s="16"/>
      <c r="M31" s="16"/>
      <c r="N31" s="16"/>
      <c r="O31" s="6"/>
    </row>
    <row r="32" spans="1:15" ht="22.5" x14ac:dyDescent="0.2">
      <c r="A32" s="44" t="s">
        <v>14</v>
      </c>
      <c r="B32" s="42"/>
      <c r="C32" s="42"/>
      <c r="D32" s="49" t="s">
        <v>33</v>
      </c>
      <c r="E32" s="50"/>
      <c r="F32" s="50"/>
      <c r="G32" s="16"/>
      <c r="H32" s="90"/>
      <c r="I32" s="91"/>
      <c r="J32" s="91"/>
      <c r="K32" s="16"/>
      <c r="L32" s="16"/>
      <c r="M32" s="16"/>
      <c r="N32" s="16"/>
      <c r="O32" s="6"/>
    </row>
    <row r="33" spans="1:15" x14ac:dyDescent="0.2">
      <c r="A33" s="59" t="s">
        <v>207</v>
      </c>
      <c r="B33" s="42">
        <v>0</v>
      </c>
      <c r="C33" s="42">
        <f>7660-2500</f>
        <v>5160</v>
      </c>
      <c r="D33" s="66"/>
      <c r="E33" s="43"/>
      <c r="F33" s="43"/>
      <c r="G33" s="16"/>
      <c r="H33" s="90"/>
      <c r="I33" s="91"/>
      <c r="J33" s="91"/>
      <c r="K33" s="16"/>
      <c r="L33" s="16"/>
      <c r="M33" s="16"/>
      <c r="N33" s="16"/>
      <c r="O33" s="6"/>
    </row>
    <row r="34" spans="1:15" x14ac:dyDescent="0.2">
      <c r="A34" s="60" t="s">
        <v>15</v>
      </c>
      <c r="B34" s="51">
        <f>B14+B21+B30</f>
        <v>1123379.2000000002</v>
      </c>
      <c r="C34" s="51">
        <f>C14+C21+C30</f>
        <v>1035499.0600000002</v>
      </c>
      <c r="D34" s="65" t="s">
        <v>35</v>
      </c>
      <c r="E34" s="43"/>
      <c r="F34" s="43"/>
      <c r="G34" s="16"/>
      <c r="H34" s="90"/>
      <c r="I34" s="91"/>
      <c r="J34" s="91"/>
      <c r="K34" s="16"/>
      <c r="L34" s="16"/>
      <c r="M34" s="16"/>
      <c r="N34" s="16"/>
      <c r="O34" s="6"/>
    </row>
    <row r="35" spans="1:15" ht="33.75" x14ac:dyDescent="0.2">
      <c r="A35" s="44"/>
      <c r="B35" s="42"/>
      <c r="C35" s="42"/>
      <c r="D35" s="52" t="s">
        <v>37</v>
      </c>
      <c r="E35" s="43"/>
      <c r="F35" s="43"/>
      <c r="G35" s="16"/>
      <c r="H35" s="90"/>
      <c r="I35" s="91"/>
      <c r="J35" s="91"/>
      <c r="K35" s="16"/>
      <c r="L35" s="16"/>
      <c r="M35" s="16"/>
      <c r="N35" s="16"/>
      <c r="O35" s="6"/>
    </row>
    <row r="36" spans="1:15" x14ac:dyDescent="0.2">
      <c r="A36" s="58" t="s">
        <v>34</v>
      </c>
      <c r="B36" s="42"/>
      <c r="C36" s="42"/>
      <c r="D36" s="66" t="s">
        <v>43</v>
      </c>
      <c r="E36" s="43"/>
      <c r="F36" s="43"/>
      <c r="G36" s="16"/>
      <c r="H36" s="90"/>
      <c r="I36" s="91"/>
      <c r="J36" s="91"/>
      <c r="K36" s="16"/>
      <c r="L36" s="16"/>
      <c r="M36" s="16"/>
      <c r="N36" s="16"/>
      <c r="O36" s="6"/>
    </row>
    <row r="37" spans="1:15" x14ac:dyDescent="0.2">
      <c r="A37" s="58" t="s">
        <v>42</v>
      </c>
      <c r="B37" s="42"/>
      <c r="C37" s="42"/>
      <c r="D37" s="66" t="s">
        <v>44</v>
      </c>
      <c r="E37" s="43"/>
      <c r="F37" s="43"/>
      <c r="G37" s="16"/>
      <c r="H37" s="90"/>
      <c r="I37" s="91"/>
      <c r="J37" s="91"/>
      <c r="K37" s="16"/>
      <c r="L37" s="16"/>
      <c r="M37" s="16"/>
      <c r="N37" s="16"/>
      <c r="O37" s="6"/>
    </row>
    <row r="38" spans="1:15" ht="22.5" x14ac:dyDescent="0.2">
      <c r="A38" s="44" t="s">
        <v>38</v>
      </c>
      <c r="B38" s="42"/>
      <c r="C38" s="42"/>
      <c r="D38" s="66" t="s">
        <v>45</v>
      </c>
      <c r="E38" s="43"/>
      <c r="F38" s="43"/>
      <c r="G38" s="16"/>
      <c r="H38" s="90"/>
      <c r="I38" s="91"/>
      <c r="J38" s="91"/>
      <c r="K38" s="16"/>
      <c r="L38" s="16"/>
      <c r="M38" s="16"/>
      <c r="N38" s="16"/>
      <c r="O38" s="6"/>
    </row>
    <row r="39" spans="1:15" x14ac:dyDescent="0.2">
      <c r="A39" s="44" t="s">
        <v>39</v>
      </c>
      <c r="B39" s="42"/>
      <c r="C39" s="42"/>
      <c r="D39" s="66" t="s">
        <v>46</v>
      </c>
      <c r="E39" s="43"/>
      <c r="F39" s="43"/>
      <c r="G39" s="16"/>
      <c r="H39" s="90"/>
      <c r="I39" s="91"/>
      <c r="J39" s="91"/>
      <c r="K39" s="16"/>
      <c r="L39" s="16"/>
      <c r="M39" s="16"/>
      <c r="N39" s="16"/>
      <c r="O39" s="6"/>
    </row>
    <row r="40" spans="1:15" x14ac:dyDescent="0.2">
      <c r="A40" s="44" t="s">
        <v>40</v>
      </c>
      <c r="B40" s="42"/>
      <c r="C40" s="42"/>
      <c r="D40" s="66" t="s">
        <v>44</v>
      </c>
      <c r="E40" s="43">
        <v>0</v>
      </c>
      <c r="F40" s="43">
        <v>480</v>
      </c>
      <c r="G40" s="16"/>
      <c r="H40" s="90"/>
      <c r="I40" s="91"/>
      <c r="J40" s="91"/>
      <c r="K40" s="16"/>
      <c r="L40" s="16"/>
      <c r="M40" s="16"/>
      <c r="N40" s="16"/>
      <c r="O40" s="6"/>
    </row>
    <row r="41" spans="1:15" x14ac:dyDescent="0.2">
      <c r="A41" s="58" t="s">
        <v>41</v>
      </c>
      <c r="B41" s="46">
        <f>SUM(B44:B58)</f>
        <v>385013.86</v>
      </c>
      <c r="C41" s="46">
        <f>SUM(C44:C58)</f>
        <v>287447.01</v>
      </c>
      <c r="D41" s="66" t="s">
        <v>45</v>
      </c>
      <c r="E41" s="43"/>
      <c r="F41" s="43"/>
      <c r="G41" s="16"/>
      <c r="H41" s="90"/>
      <c r="I41" s="91"/>
      <c r="J41" s="91"/>
      <c r="K41" s="16"/>
      <c r="L41" s="16"/>
      <c r="M41" s="16"/>
      <c r="N41" s="16"/>
      <c r="O41" s="6"/>
    </row>
    <row r="42" spans="1:15" ht="22.5" x14ac:dyDescent="0.2">
      <c r="A42" s="44" t="s">
        <v>48</v>
      </c>
      <c r="B42" s="42"/>
      <c r="C42" s="42"/>
      <c r="D42" s="66" t="s">
        <v>47</v>
      </c>
      <c r="E42" s="43"/>
      <c r="F42" s="43"/>
      <c r="G42" s="16"/>
      <c r="H42" s="90"/>
      <c r="I42" s="91"/>
      <c r="J42" s="91"/>
      <c r="K42" s="16"/>
      <c r="L42" s="16"/>
      <c r="M42" s="16"/>
      <c r="N42" s="16"/>
      <c r="O42" s="6"/>
    </row>
    <row r="43" spans="1:15" ht="22.5" x14ac:dyDescent="0.2">
      <c r="A43" s="44" t="s">
        <v>49</v>
      </c>
      <c r="B43" s="42"/>
      <c r="C43" s="42"/>
      <c r="D43" s="66" t="s">
        <v>44</v>
      </c>
      <c r="E43" s="43">
        <v>0</v>
      </c>
      <c r="F43" s="43">
        <v>0</v>
      </c>
      <c r="G43" s="16"/>
      <c r="H43" s="90"/>
      <c r="I43" s="91"/>
      <c r="J43" s="91"/>
      <c r="K43" s="16"/>
      <c r="L43" s="16"/>
      <c r="M43" s="16"/>
      <c r="N43" s="16"/>
      <c r="O43" s="6"/>
    </row>
    <row r="44" spans="1:15" x14ac:dyDescent="0.2">
      <c r="A44" s="44" t="s">
        <v>51</v>
      </c>
      <c r="B44" s="42"/>
      <c r="C44" s="42"/>
      <c r="D44" s="66" t="s">
        <v>45</v>
      </c>
      <c r="E44" s="43"/>
      <c r="F44" s="43"/>
      <c r="G44" s="16"/>
      <c r="H44" s="90"/>
      <c r="I44" s="91"/>
      <c r="J44" s="91"/>
      <c r="K44" s="16"/>
      <c r="L44" s="16"/>
      <c r="M44" s="16"/>
      <c r="N44" s="16"/>
      <c r="O44" s="6"/>
    </row>
    <row r="45" spans="1:15" x14ac:dyDescent="0.2">
      <c r="A45" s="44" t="s">
        <v>44</v>
      </c>
      <c r="B45" s="42">
        <v>13947</v>
      </c>
      <c r="C45" s="42">
        <v>0</v>
      </c>
      <c r="D45" s="66" t="s">
        <v>50</v>
      </c>
      <c r="E45" s="43"/>
      <c r="F45" s="43"/>
      <c r="G45" s="16"/>
      <c r="H45" s="90"/>
      <c r="I45" s="91"/>
      <c r="J45" s="91"/>
      <c r="K45" s="16"/>
      <c r="L45" s="16"/>
      <c r="M45" s="16"/>
      <c r="N45" s="16"/>
      <c r="O45" s="6"/>
    </row>
    <row r="46" spans="1:15" x14ac:dyDescent="0.2">
      <c r="A46" s="44" t="s">
        <v>45</v>
      </c>
      <c r="B46" s="42">
        <v>0</v>
      </c>
      <c r="C46" s="42">
        <v>0</v>
      </c>
      <c r="D46" s="66" t="s">
        <v>44</v>
      </c>
      <c r="E46" s="43">
        <v>160495.51999999999</v>
      </c>
      <c r="F46" s="43">
        <f>163860.68-16278.6</f>
        <v>147582.07999999999</v>
      </c>
      <c r="H46" s="94"/>
    </row>
    <row r="47" spans="1:15" x14ac:dyDescent="0.2">
      <c r="A47" s="44" t="s">
        <v>52</v>
      </c>
      <c r="B47" s="42"/>
      <c r="C47" s="42"/>
      <c r="D47" s="66" t="s">
        <v>45</v>
      </c>
      <c r="E47" s="43">
        <v>16278.6</v>
      </c>
      <c r="F47" s="43">
        <v>16278.6</v>
      </c>
    </row>
    <row r="48" spans="1:15" x14ac:dyDescent="0.2">
      <c r="A48" s="44" t="s">
        <v>44</v>
      </c>
      <c r="B48" s="42">
        <v>308879.78000000003</v>
      </c>
      <c r="C48" s="42">
        <f>39058+30576.67+70000+10000</f>
        <v>149634.66999999998</v>
      </c>
      <c r="D48" s="66" t="s">
        <v>53</v>
      </c>
      <c r="E48" s="43"/>
      <c r="F48" s="43"/>
    </row>
    <row r="49" spans="1:9" x14ac:dyDescent="0.2">
      <c r="A49" s="44" t="s">
        <v>45</v>
      </c>
      <c r="B49" s="42">
        <v>0</v>
      </c>
      <c r="C49" s="42">
        <v>80000</v>
      </c>
      <c r="D49" s="66" t="s">
        <v>44</v>
      </c>
      <c r="E49" s="43">
        <v>9292.69</v>
      </c>
      <c r="F49" s="43">
        <v>10419.85</v>
      </c>
    </row>
    <row r="50" spans="1:9" x14ac:dyDescent="0.2">
      <c r="A50" s="44" t="s">
        <v>54</v>
      </c>
      <c r="B50" s="42"/>
      <c r="C50" s="42"/>
      <c r="D50" s="66" t="s">
        <v>45</v>
      </c>
      <c r="E50" s="43"/>
      <c r="F50" s="43"/>
    </row>
    <row r="51" spans="1:9" x14ac:dyDescent="0.2">
      <c r="A51" s="44" t="s">
        <v>147</v>
      </c>
      <c r="B51" s="42">
        <f>5495.5+4119.1</f>
        <v>9614.6</v>
      </c>
      <c r="C51" s="42">
        <f>9788.65+40991.8-29259.33</f>
        <v>21521.120000000003</v>
      </c>
      <c r="D51" s="66" t="s">
        <v>70</v>
      </c>
      <c r="E51" s="43"/>
      <c r="F51" s="43"/>
      <c r="H51" s="94"/>
    </row>
    <row r="52" spans="1:9" x14ac:dyDescent="0.2">
      <c r="A52" s="44" t="s">
        <v>45</v>
      </c>
      <c r="B52" s="42">
        <v>36983.96</v>
      </c>
      <c r="C52" s="42">
        <v>29259.33</v>
      </c>
      <c r="D52" s="66" t="s">
        <v>44</v>
      </c>
      <c r="E52" s="43">
        <v>519.07000000000005</v>
      </c>
      <c r="F52" s="43">
        <v>210.83</v>
      </c>
    </row>
    <row r="53" spans="1:9" x14ac:dyDescent="0.2">
      <c r="A53" s="44" t="s">
        <v>55</v>
      </c>
      <c r="B53" s="42"/>
      <c r="C53" s="42"/>
      <c r="D53" s="66" t="s">
        <v>45</v>
      </c>
      <c r="E53" s="43"/>
      <c r="F53" s="43"/>
    </row>
    <row r="54" spans="1:9" x14ac:dyDescent="0.2">
      <c r="A54" s="44" t="s">
        <v>44</v>
      </c>
      <c r="B54" s="42">
        <v>4058.63</v>
      </c>
      <c r="C54" s="42">
        <v>4058.63</v>
      </c>
      <c r="D54" s="66" t="s">
        <v>57</v>
      </c>
      <c r="E54" s="43"/>
      <c r="F54" s="43"/>
    </row>
    <row r="55" spans="1:9" x14ac:dyDescent="0.2">
      <c r="A55" s="44" t="s">
        <v>45</v>
      </c>
      <c r="B55" s="42">
        <v>0</v>
      </c>
      <c r="C55" s="42">
        <v>0</v>
      </c>
      <c r="D55" s="66" t="s">
        <v>44</v>
      </c>
      <c r="E55" s="43">
        <v>18100.599999999999</v>
      </c>
      <c r="F55" s="43">
        <f>18862+808.43</f>
        <v>19670.43</v>
      </c>
    </row>
    <row r="56" spans="1:9" x14ac:dyDescent="0.2">
      <c r="A56" s="44" t="s">
        <v>56</v>
      </c>
      <c r="B56" s="42"/>
      <c r="C56" s="42"/>
      <c r="D56" s="66" t="s">
        <v>45</v>
      </c>
      <c r="E56" s="43"/>
      <c r="F56" s="43"/>
    </row>
    <row r="57" spans="1:9" x14ac:dyDescent="0.2">
      <c r="A57" s="44" t="s">
        <v>44</v>
      </c>
      <c r="B57" s="42">
        <v>10160.040000000001</v>
      </c>
      <c r="C57" s="42">
        <f>942.37+1603.41</f>
        <v>2545.7800000000002</v>
      </c>
      <c r="D57" s="67" t="s">
        <v>65</v>
      </c>
      <c r="E57" s="48">
        <f>SUM(E36:E56)</f>
        <v>204686.48</v>
      </c>
      <c r="F57" s="48">
        <f>SUM(F36:F56)</f>
        <v>194641.78999999998</v>
      </c>
    </row>
    <row r="58" spans="1:9" x14ac:dyDescent="0.2">
      <c r="A58" s="44" t="s">
        <v>45</v>
      </c>
      <c r="B58" s="42">
        <v>1369.85</v>
      </c>
      <c r="C58" s="42">
        <v>427.48</v>
      </c>
      <c r="D58" s="66"/>
      <c r="E58" s="43"/>
      <c r="F58" s="43"/>
    </row>
    <row r="59" spans="1:9" ht="22.5" x14ac:dyDescent="0.2">
      <c r="A59" s="58" t="s">
        <v>58</v>
      </c>
      <c r="B59" s="42"/>
      <c r="C59" s="42"/>
      <c r="D59" s="66"/>
      <c r="E59" s="43"/>
      <c r="F59" s="43"/>
    </row>
    <row r="60" spans="1:9" x14ac:dyDescent="0.2">
      <c r="A60" s="44" t="s">
        <v>59</v>
      </c>
      <c r="B60" s="42"/>
      <c r="C60" s="42"/>
      <c r="D60" s="66"/>
      <c r="E60" s="43"/>
      <c r="F60" s="43"/>
    </row>
    <row r="61" spans="1:9" x14ac:dyDescent="0.2">
      <c r="A61" s="58" t="s">
        <v>60</v>
      </c>
      <c r="B61" s="46">
        <f>SUM(B62:B64)</f>
        <v>671543.54999999993</v>
      </c>
      <c r="C61" s="46">
        <f>SUM(C62:C64)</f>
        <v>776280.22</v>
      </c>
      <c r="D61" s="66"/>
      <c r="E61" s="43"/>
      <c r="F61" s="43"/>
      <c r="H61" s="90"/>
      <c r="I61" s="91"/>
    </row>
    <row r="62" spans="1:9" x14ac:dyDescent="0.2">
      <c r="A62" s="44" t="s">
        <v>61</v>
      </c>
      <c r="B62" s="42">
        <v>2876.09</v>
      </c>
      <c r="C62" s="42">
        <v>2945.37</v>
      </c>
      <c r="D62" s="66"/>
      <c r="E62" s="43"/>
      <c r="F62" s="43"/>
      <c r="I62" s="91"/>
    </row>
    <row r="63" spans="1:9" x14ac:dyDescent="0.2">
      <c r="A63" s="44" t="s">
        <v>62</v>
      </c>
      <c r="B63" s="42">
        <v>664205.93999999994</v>
      </c>
      <c r="C63" s="42">
        <v>771665.19</v>
      </c>
      <c r="D63" s="66"/>
      <c r="E63" s="43"/>
      <c r="F63" s="43"/>
    </row>
    <row r="64" spans="1:9" x14ac:dyDescent="0.2">
      <c r="A64" s="44" t="s">
        <v>63</v>
      </c>
      <c r="B64" s="42">
        <v>4461.5200000000004</v>
      </c>
      <c r="C64" s="42">
        <v>1669.66</v>
      </c>
      <c r="D64" s="66"/>
      <c r="E64" s="43"/>
      <c r="F64" s="43"/>
    </row>
    <row r="65" spans="1:10" x14ac:dyDescent="0.2">
      <c r="A65" s="60" t="s">
        <v>64</v>
      </c>
      <c r="B65" s="51">
        <f>B37+B41+B59+B61</f>
        <v>1056557.4099999999</v>
      </c>
      <c r="C65" s="51">
        <f>C37+C41+C59+C61</f>
        <v>1063727.23</v>
      </c>
      <c r="D65" s="66"/>
      <c r="E65" s="43"/>
      <c r="F65" s="43"/>
    </row>
    <row r="66" spans="1:10" x14ac:dyDescent="0.2">
      <c r="A66" s="44"/>
      <c r="B66" s="42"/>
      <c r="C66" s="42"/>
      <c r="D66" s="44"/>
      <c r="E66" s="43"/>
      <c r="F66" s="43"/>
    </row>
    <row r="67" spans="1:10" x14ac:dyDescent="0.2">
      <c r="A67" s="61" t="s">
        <v>66</v>
      </c>
      <c r="B67" s="46"/>
      <c r="C67" s="46"/>
      <c r="D67" s="61" t="s">
        <v>67</v>
      </c>
      <c r="E67" s="45"/>
      <c r="F67" s="45"/>
    </row>
    <row r="68" spans="1:10" x14ac:dyDescent="0.2">
      <c r="A68" s="62" t="s">
        <v>74</v>
      </c>
      <c r="B68" s="42">
        <v>0</v>
      </c>
      <c r="C68" s="42">
        <v>0</v>
      </c>
      <c r="D68" s="62" t="s">
        <v>76</v>
      </c>
      <c r="E68" s="43">
        <v>3645.59</v>
      </c>
      <c r="F68" s="43">
        <v>1280.83</v>
      </c>
    </row>
    <row r="69" spans="1:10" x14ac:dyDescent="0.2">
      <c r="A69" s="62" t="s">
        <v>75</v>
      </c>
      <c r="B69" s="42">
        <v>14252.3</v>
      </c>
      <c r="C69" s="42">
        <v>23400.79</v>
      </c>
      <c r="D69" s="62" t="s">
        <v>77</v>
      </c>
      <c r="E69" s="43">
        <f>992978.9+21424.81</f>
        <v>1014403.7100000001</v>
      </c>
      <c r="F69" s="43">
        <f>899313.85+31447.81</f>
        <v>930761.66</v>
      </c>
    </row>
    <row r="70" spans="1:10" x14ac:dyDescent="0.2">
      <c r="A70" s="63" t="s">
        <v>73</v>
      </c>
      <c r="B70" s="53">
        <f>SUM(B68:B69)</f>
        <v>14252.3</v>
      </c>
      <c r="C70" s="53">
        <f>SUM(C68:C69)</f>
        <v>23400.79</v>
      </c>
      <c r="D70" s="63" t="s">
        <v>72</v>
      </c>
      <c r="E70" s="54">
        <f>SUM(E68:E69)</f>
        <v>1018049.3</v>
      </c>
      <c r="F70" s="54">
        <f>SUM(F68:F69)</f>
        <v>932042.49</v>
      </c>
      <c r="G70" s="16"/>
    </row>
    <row r="71" spans="1:10" x14ac:dyDescent="0.2">
      <c r="A71" s="58"/>
      <c r="B71" s="42"/>
      <c r="C71" s="42"/>
      <c r="D71" s="58"/>
      <c r="E71" s="43"/>
      <c r="F71" s="43"/>
      <c r="G71" s="16"/>
    </row>
    <row r="72" spans="1:10" x14ac:dyDescent="0.2">
      <c r="A72" s="60" t="s">
        <v>68</v>
      </c>
      <c r="B72" s="51">
        <f>B34+B65+B70</f>
        <v>2194188.91</v>
      </c>
      <c r="C72" s="51">
        <f>C34+C65+C70</f>
        <v>2122627.08</v>
      </c>
      <c r="D72" s="67" t="s">
        <v>69</v>
      </c>
      <c r="E72" s="48">
        <f>E21+E30+E32+E57+E70</f>
        <v>2194188.91</v>
      </c>
      <c r="F72" s="48">
        <f>F21+F30+F32+F57+F70</f>
        <v>2122627.08</v>
      </c>
      <c r="J72" s="95"/>
    </row>
    <row r="73" spans="1:10" ht="21" hidden="1" x14ac:dyDescent="0.35">
      <c r="A73" s="9"/>
      <c r="B73" s="8"/>
      <c r="C73" s="8"/>
      <c r="E73" s="11">
        <f>B72-E72</f>
        <v>0</v>
      </c>
      <c r="F73" s="11">
        <f>C72-F72</f>
        <v>0</v>
      </c>
    </row>
    <row r="74" spans="1:10" x14ac:dyDescent="0.2">
      <c r="B74" s="6"/>
      <c r="C74" s="6"/>
      <c r="E74" s="12"/>
      <c r="F74" s="12"/>
    </row>
    <row r="75" spans="1:10" x14ac:dyDescent="0.2">
      <c r="B75" s="6"/>
      <c r="C75" s="10"/>
      <c r="F75" s="10"/>
    </row>
    <row r="76" spans="1:10" x14ac:dyDescent="0.2">
      <c r="B76" s="10"/>
      <c r="C76" s="10"/>
    </row>
    <row r="77" spans="1:10" x14ac:dyDescent="0.2">
      <c r="A77" s="9"/>
      <c r="B77" s="10"/>
      <c r="C77" s="10"/>
      <c r="D77" s="9"/>
    </row>
    <row r="78" spans="1:10" x14ac:dyDescent="0.2">
      <c r="A78" s="9"/>
      <c r="B78" s="6"/>
      <c r="C78" s="6"/>
      <c r="D78" s="9"/>
    </row>
    <row r="79" spans="1:10" x14ac:dyDescent="0.2">
      <c r="A79" s="9"/>
      <c r="B79" s="6"/>
      <c r="C79" s="6"/>
      <c r="D79" s="9"/>
    </row>
    <row r="80" spans="1:10" x14ac:dyDescent="0.2">
      <c r="A80" s="9"/>
      <c r="B80" s="6"/>
      <c r="C80" s="6"/>
      <c r="D80" s="9"/>
    </row>
    <row r="81" spans="1:4" x14ac:dyDescent="0.2">
      <c r="A81" s="9"/>
      <c r="B81" s="6"/>
      <c r="C81" s="6"/>
      <c r="D81" s="9"/>
    </row>
    <row r="82" spans="1:4" x14ac:dyDescent="0.2">
      <c r="A82" s="9"/>
      <c r="B82" s="6"/>
      <c r="C82" s="6"/>
      <c r="D82" s="9"/>
    </row>
    <row r="83" spans="1:4" x14ac:dyDescent="0.2">
      <c r="A83" s="9"/>
      <c r="B83" s="6"/>
      <c r="C83" s="6"/>
      <c r="D83" s="9"/>
    </row>
    <row r="84" spans="1:4" x14ac:dyDescent="0.2">
      <c r="A84" s="9"/>
      <c r="B84" s="6"/>
      <c r="C84" s="6"/>
      <c r="D84" s="9"/>
    </row>
    <row r="85" spans="1:4" x14ac:dyDescent="0.2">
      <c r="A85" s="9"/>
      <c r="B85" s="6"/>
      <c r="C85" s="6"/>
      <c r="D85" s="9"/>
    </row>
    <row r="86" spans="1:4" x14ac:dyDescent="0.2">
      <c r="A86" s="9"/>
      <c r="B86" s="6"/>
      <c r="C86" s="6"/>
      <c r="D86" s="9"/>
    </row>
    <row r="87" spans="1:4" x14ac:dyDescent="0.2">
      <c r="A87" s="9"/>
      <c r="B87" s="6"/>
      <c r="C87" s="6"/>
      <c r="D87" s="9"/>
    </row>
    <row r="88" spans="1:4" x14ac:dyDescent="0.2">
      <c r="A88" s="9"/>
      <c r="B88" s="6"/>
      <c r="C88" s="6"/>
      <c r="D88" s="9"/>
    </row>
    <row r="89" spans="1:4" x14ac:dyDescent="0.2">
      <c r="A89" s="9"/>
      <c r="B89" s="6"/>
      <c r="C89" s="6"/>
      <c r="D89" s="9"/>
    </row>
    <row r="90" spans="1:4" x14ac:dyDescent="0.2">
      <c r="A90" s="9"/>
      <c r="B90" s="6"/>
      <c r="C90" s="6"/>
      <c r="D90" s="9"/>
    </row>
    <row r="91" spans="1:4" x14ac:dyDescent="0.2">
      <c r="A91" s="9"/>
      <c r="B91" s="6"/>
      <c r="C91" s="6"/>
      <c r="D91" s="9"/>
    </row>
    <row r="92" spans="1:4" x14ac:dyDescent="0.2">
      <c r="A92" s="9"/>
      <c r="B92" s="6"/>
      <c r="C92" s="6"/>
      <c r="D92" s="9"/>
    </row>
    <row r="93" spans="1:4" x14ac:dyDescent="0.2">
      <c r="A93" s="9"/>
      <c r="B93" s="6"/>
      <c r="C93" s="6"/>
      <c r="D93" s="9"/>
    </row>
    <row r="94" spans="1:4" x14ac:dyDescent="0.2">
      <c r="A94" s="9"/>
      <c r="B94" s="6"/>
      <c r="C94" s="6"/>
      <c r="D94" s="9"/>
    </row>
    <row r="95" spans="1:4" x14ac:dyDescent="0.2">
      <c r="A95" s="9"/>
      <c r="B95" s="6"/>
      <c r="C95" s="6"/>
      <c r="D95" s="9"/>
    </row>
    <row r="96" spans="1:4" x14ac:dyDescent="0.2">
      <c r="A96" s="9"/>
      <c r="B96" s="6"/>
      <c r="C96" s="6"/>
      <c r="D96" s="9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</sheetData>
  <mergeCells count="6">
    <mergeCell ref="A9:F10"/>
    <mergeCell ref="A1:F1"/>
    <mergeCell ref="A3:F3"/>
    <mergeCell ref="A2:F2"/>
    <mergeCell ref="A6:F6"/>
    <mergeCell ref="A7:F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topLeftCell="A67" zoomScale="120" zoomScaleNormal="120" workbookViewId="0">
      <selection activeCell="D1" sqref="D1:L1048576"/>
    </sheetView>
  </sheetViews>
  <sheetFormatPr defaultRowHeight="15" customHeight="1" x14ac:dyDescent="0.2"/>
  <cols>
    <col min="1" max="1" width="60.140625" style="6" customWidth="1"/>
    <col min="2" max="3" width="20.7109375" style="6" customWidth="1"/>
    <col min="4" max="4" width="9.85546875" style="16" bestFit="1" customWidth="1"/>
    <col min="5" max="5" width="31" style="16" bestFit="1" customWidth="1"/>
    <col min="6" max="6" width="9.140625" style="91"/>
    <col min="7" max="12" width="9.140625" style="16"/>
    <col min="13" max="16384" width="9.140625" style="6"/>
  </cols>
  <sheetData>
    <row r="1" spans="1:16" ht="15" customHeight="1" x14ac:dyDescent="0.2">
      <c r="A1" s="82" t="s">
        <v>80</v>
      </c>
      <c r="B1" s="82"/>
      <c r="C1" s="82"/>
      <c r="D1" s="2"/>
      <c r="E1" s="3"/>
      <c r="F1" s="78"/>
      <c r="G1" s="17"/>
      <c r="H1" s="17"/>
      <c r="I1" s="17"/>
      <c r="J1" s="17"/>
      <c r="K1" s="17"/>
      <c r="L1" s="17"/>
      <c r="M1" s="13"/>
      <c r="N1" s="13"/>
      <c r="O1" s="13"/>
      <c r="P1" s="13"/>
    </row>
    <row r="2" spans="1:16" ht="15" customHeight="1" x14ac:dyDescent="0.2">
      <c r="A2" s="83" t="s">
        <v>78</v>
      </c>
      <c r="B2" s="83"/>
      <c r="C2" s="83"/>
      <c r="D2" s="14"/>
      <c r="E2" s="15"/>
      <c r="F2" s="79"/>
      <c r="G2" s="17"/>
      <c r="H2" s="17"/>
      <c r="I2" s="17"/>
      <c r="J2" s="17"/>
      <c r="K2" s="17"/>
      <c r="L2" s="17"/>
      <c r="M2" s="13"/>
      <c r="N2" s="13"/>
      <c r="O2" s="13"/>
      <c r="P2" s="13"/>
    </row>
    <row r="3" spans="1:16" ht="15" customHeight="1" x14ac:dyDescent="0.2">
      <c r="A3" s="83" t="s">
        <v>79</v>
      </c>
      <c r="B3" s="83"/>
      <c r="C3" s="83"/>
      <c r="D3" s="14"/>
      <c r="E3" s="15"/>
      <c r="F3" s="79"/>
      <c r="G3" s="17"/>
      <c r="H3" s="17"/>
      <c r="I3" s="17"/>
      <c r="J3" s="17"/>
      <c r="K3" s="17"/>
      <c r="L3" s="17"/>
      <c r="M3" s="13"/>
      <c r="N3" s="13"/>
      <c r="O3" s="13"/>
      <c r="P3" s="13"/>
    </row>
    <row r="4" spans="1:16" ht="15" customHeight="1" x14ac:dyDescent="0.2">
      <c r="A4" s="7"/>
      <c r="B4" s="7"/>
      <c r="C4" s="7"/>
      <c r="D4" s="14"/>
      <c r="E4" s="15"/>
      <c r="F4" s="79"/>
      <c r="G4" s="17"/>
      <c r="H4" s="17"/>
      <c r="I4" s="17"/>
      <c r="J4" s="17"/>
      <c r="K4" s="17"/>
      <c r="L4" s="17"/>
      <c r="M4" s="13"/>
      <c r="N4" s="13"/>
      <c r="O4" s="13"/>
      <c r="P4" s="13"/>
    </row>
    <row r="5" spans="1:16" ht="15" customHeight="1" x14ac:dyDescent="0.2">
      <c r="E5" s="17"/>
      <c r="G5" s="17"/>
      <c r="H5" s="17"/>
      <c r="I5" s="17"/>
      <c r="J5" s="17"/>
      <c r="K5" s="17"/>
      <c r="L5" s="17"/>
      <c r="M5" s="13"/>
      <c r="N5" s="13"/>
      <c r="O5" s="13"/>
      <c r="P5" s="13"/>
    </row>
    <row r="6" spans="1:16" ht="15" customHeight="1" x14ac:dyDescent="0.2">
      <c r="A6" s="84" t="s">
        <v>206</v>
      </c>
      <c r="B6" s="84"/>
      <c r="C6" s="84"/>
      <c r="D6" s="1"/>
      <c r="E6" s="4"/>
      <c r="F6" s="80"/>
      <c r="G6" s="17"/>
      <c r="H6" s="17"/>
      <c r="I6" s="17"/>
      <c r="J6" s="17"/>
      <c r="K6" s="17"/>
      <c r="L6" s="17"/>
      <c r="M6" s="13"/>
      <c r="N6" s="13"/>
      <c r="O6" s="13"/>
      <c r="P6" s="13"/>
    </row>
    <row r="7" spans="1:16" ht="15" customHeight="1" x14ac:dyDescent="0.2">
      <c r="A7" s="86" t="s">
        <v>81</v>
      </c>
      <c r="B7" s="86"/>
      <c r="C7" s="86"/>
      <c r="D7" s="1"/>
      <c r="E7" s="4"/>
      <c r="F7" s="80"/>
      <c r="G7" s="17"/>
      <c r="H7" s="17"/>
      <c r="I7" s="17"/>
      <c r="J7" s="17"/>
      <c r="K7" s="17"/>
      <c r="L7" s="17"/>
      <c r="M7" s="13"/>
      <c r="N7" s="13"/>
      <c r="O7" s="13"/>
      <c r="P7" s="13"/>
    </row>
    <row r="8" spans="1:16" ht="15" customHeight="1" x14ac:dyDescent="0.2">
      <c r="E8" s="17"/>
      <c r="G8" s="17"/>
      <c r="H8" s="17"/>
      <c r="I8" s="17"/>
      <c r="J8" s="17"/>
      <c r="K8" s="17"/>
      <c r="L8" s="17"/>
      <c r="M8" s="13"/>
      <c r="N8" s="13"/>
      <c r="O8" s="13"/>
      <c r="P8" s="13"/>
    </row>
    <row r="9" spans="1:16" ht="30" customHeight="1" x14ac:dyDescent="0.2">
      <c r="A9" s="85" t="s">
        <v>211</v>
      </c>
      <c r="B9" s="85"/>
      <c r="C9" s="85"/>
      <c r="E9" s="17"/>
      <c r="G9" s="17"/>
      <c r="H9" s="17"/>
      <c r="I9" s="17"/>
      <c r="J9" s="17"/>
      <c r="K9" s="17"/>
      <c r="L9" s="17"/>
      <c r="M9" s="13"/>
      <c r="N9" s="13"/>
      <c r="O9" s="13"/>
      <c r="P9" s="13"/>
    </row>
    <row r="10" spans="1:16" ht="15" customHeight="1" x14ac:dyDescent="0.2">
      <c r="A10" s="64"/>
      <c r="B10" s="68">
        <v>43465</v>
      </c>
      <c r="C10" s="68">
        <v>43100</v>
      </c>
      <c r="D10" s="93"/>
      <c r="E10" s="17"/>
      <c r="G10" s="17"/>
      <c r="H10" s="17"/>
      <c r="I10" s="17"/>
      <c r="J10" s="17"/>
      <c r="K10" s="17"/>
      <c r="L10" s="17"/>
      <c r="M10" s="13"/>
      <c r="N10" s="13"/>
      <c r="O10" s="13"/>
      <c r="P10" s="13"/>
    </row>
    <row r="11" spans="1:16" ht="15" customHeight="1" x14ac:dyDescent="0.2">
      <c r="A11" s="69" t="s">
        <v>82</v>
      </c>
      <c r="B11" s="70"/>
      <c r="C11" s="70"/>
      <c r="E11" s="17"/>
      <c r="G11" s="17"/>
      <c r="H11" s="17"/>
      <c r="I11" s="17"/>
      <c r="J11" s="17"/>
      <c r="K11" s="17"/>
      <c r="L11" s="17"/>
      <c r="M11" s="13"/>
      <c r="N11" s="13"/>
      <c r="O11" s="13"/>
      <c r="P11" s="13"/>
    </row>
    <row r="12" spans="1:16" ht="15" customHeight="1" x14ac:dyDescent="0.2">
      <c r="A12" s="71" t="s">
        <v>83</v>
      </c>
      <c r="B12" s="72">
        <f>B13+B14</f>
        <v>479434.66000000003</v>
      </c>
      <c r="C12" s="72">
        <f>C13+C14</f>
        <v>508215.39</v>
      </c>
      <c r="E12" s="17"/>
      <c r="G12" s="17"/>
      <c r="H12" s="17"/>
      <c r="I12" s="17"/>
      <c r="J12" s="17"/>
      <c r="K12" s="17"/>
      <c r="L12" s="17"/>
      <c r="M12" s="13"/>
      <c r="N12" s="13"/>
      <c r="O12" s="13"/>
      <c r="P12" s="13"/>
    </row>
    <row r="13" spans="1:16" ht="15" customHeight="1" x14ac:dyDescent="0.2">
      <c r="A13" s="59" t="s">
        <v>84</v>
      </c>
      <c r="B13" s="70">
        <f>31828.16+4230.11</f>
        <v>36058.269999999997</v>
      </c>
      <c r="C13" s="70">
        <v>39337.47</v>
      </c>
      <c r="D13" s="96"/>
      <c r="E13" s="17"/>
      <c r="G13" s="17"/>
      <c r="H13" s="17"/>
      <c r="I13" s="17"/>
      <c r="J13" s="17"/>
      <c r="K13" s="17"/>
      <c r="L13" s="17"/>
      <c r="M13" s="13"/>
      <c r="N13" s="13"/>
      <c r="O13" s="13"/>
      <c r="P13" s="13"/>
    </row>
    <row r="14" spans="1:16" ht="15" customHeight="1" x14ac:dyDescent="0.2">
      <c r="A14" s="59" t="s">
        <v>85</v>
      </c>
      <c r="B14" s="70">
        <v>443376.39</v>
      </c>
      <c r="C14" s="70">
        <v>468877.92</v>
      </c>
      <c r="D14" s="96"/>
      <c r="E14" s="17"/>
      <c r="G14" s="17"/>
      <c r="H14" s="17"/>
      <c r="I14" s="17"/>
      <c r="J14" s="17"/>
      <c r="K14" s="17"/>
      <c r="L14" s="17"/>
      <c r="M14" s="13"/>
      <c r="N14" s="13"/>
      <c r="O14" s="13"/>
      <c r="P14" s="13"/>
    </row>
    <row r="15" spans="1:16" ht="15" customHeight="1" x14ac:dyDescent="0.2">
      <c r="A15" s="69" t="s">
        <v>86</v>
      </c>
      <c r="B15" s="73">
        <v>0</v>
      </c>
      <c r="C15" s="73">
        <v>0</v>
      </c>
      <c r="E15" s="17"/>
      <c r="G15" s="17"/>
      <c r="H15" s="17"/>
      <c r="I15" s="17"/>
      <c r="J15" s="17"/>
      <c r="K15" s="17"/>
      <c r="L15" s="17"/>
      <c r="M15" s="13"/>
      <c r="N15" s="13"/>
      <c r="O15" s="13"/>
      <c r="P15" s="13"/>
    </row>
    <row r="16" spans="1:16" ht="15" customHeight="1" x14ac:dyDescent="0.2">
      <c r="A16" s="69" t="s">
        <v>87</v>
      </c>
      <c r="B16" s="73">
        <v>0</v>
      </c>
      <c r="C16" s="73">
        <v>0</v>
      </c>
      <c r="E16" s="17"/>
      <c r="G16" s="17"/>
      <c r="H16" s="17"/>
      <c r="I16" s="17"/>
      <c r="J16" s="17"/>
      <c r="K16" s="17"/>
      <c r="L16" s="17"/>
      <c r="M16" s="13"/>
      <c r="N16" s="13"/>
      <c r="O16" s="13"/>
      <c r="P16" s="13"/>
    </row>
    <row r="17" spans="1:16" ht="15" customHeight="1" x14ac:dyDescent="0.2">
      <c r="A17" s="69" t="s">
        <v>88</v>
      </c>
      <c r="B17" s="73">
        <v>0</v>
      </c>
      <c r="C17" s="73">
        <v>0</v>
      </c>
      <c r="E17" s="17"/>
      <c r="G17" s="17"/>
      <c r="H17" s="17"/>
      <c r="I17" s="17"/>
      <c r="J17" s="17"/>
      <c r="K17" s="17"/>
      <c r="L17" s="17"/>
      <c r="M17" s="13"/>
      <c r="N17" s="13"/>
      <c r="O17" s="13"/>
      <c r="P17" s="13"/>
    </row>
    <row r="18" spans="1:16" ht="15" customHeight="1" x14ac:dyDescent="0.2">
      <c r="A18" s="69" t="s">
        <v>89</v>
      </c>
      <c r="B18" s="73">
        <f>SUM(B19:B23)</f>
        <v>1566902.5900000003</v>
      </c>
      <c r="C18" s="73">
        <f>SUM(C19:C23)</f>
        <v>1652530.7100000002</v>
      </c>
      <c r="E18" s="17"/>
      <c r="G18" s="17"/>
      <c r="H18" s="17"/>
      <c r="I18" s="17"/>
      <c r="J18" s="17"/>
      <c r="K18" s="17"/>
      <c r="L18" s="17"/>
      <c r="M18" s="13"/>
      <c r="N18" s="13"/>
      <c r="O18" s="13"/>
      <c r="P18" s="13"/>
    </row>
    <row r="19" spans="1:16" ht="15" customHeight="1" x14ac:dyDescent="0.2">
      <c r="A19" s="59" t="s">
        <v>90</v>
      </c>
      <c r="B19" s="74">
        <v>1175495.81</v>
      </c>
      <c r="C19" s="74">
        <f>1145938.3+9760</f>
        <v>1155698.3</v>
      </c>
      <c r="D19" s="96"/>
      <c r="E19" s="17"/>
      <c r="G19" s="17"/>
      <c r="H19" s="17"/>
      <c r="I19" s="17"/>
      <c r="J19" s="17"/>
      <c r="K19" s="17"/>
      <c r="L19" s="17"/>
      <c r="M19" s="13"/>
      <c r="N19" s="13"/>
      <c r="O19" s="13"/>
      <c r="P19" s="13"/>
    </row>
    <row r="20" spans="1:16" ht="15" customHeight="1" x14ac:dyDescent="0.2">
      <c r="A20" s="59" t="s">
        <v>91</v>
      </c>
      <c r="B20" s="70">
        <v>249865.37</v>
      </c>
      <c r="C20" s="70">
        <f>383447.06-4230.11+27084.8</f>
        <v>406301.75</v>
      </c>
      <c r="D20" s="96"/>
      <c r="E20" s="17"/>
      <c r="G20" s="17"/>
      <c r="H20" s="17"/>
      <c r="I20" s="17"/>
      <c r="J20" s="17"/>
      <c r="K20" s="17"/>
      <c r="L20" s="17"/>
      <c r="M20" s="13"/>
      <c r="N20" s="13"/>
      <c r="O20" s="13"/>
      <c r="P20" s="13"/>
    </row>
    <row r="21" spans="1:16" ht="15" customHeight="1" x14ac:dyDescent="0.2">
      <c r="A21" s="59" t="s">
        <v>148</v>
      </c>
      <c r="B21" s="70">
        <v>17777</v>
      </c>
      <c r="C21" s="70">
        <f>13310+4230.11</f>
        <v>17540.11</v>
      </c>
      <c r="D21" s="96"/>
      <c r="E21" s="17"/>
      <c r="G21" s="17"/>
      <c r="H21" s="17"/>
      <c r="I21" s="17"/>
      <c r="J21" s="17"/>
      <c r="K21" s="17"/>
      <c r="L21" s="17"/>
      <c r="M21" s="13"/>
      <c r="N21" s="13"/>
      <c r="O21" s="13"/>
      <c r="P21" s="13"/>
    </row>
    <row r="22" spans="1:16" ht="15" customHeight="1" x14ac:dyDescent="0.2">
      <c r="A22" s="59" t="s">
        <v>92</v>
      </c>
      <c r="B22" s="70">
        <v>61722.33</v>
      </c>
      <c r="C22" s="70">
        <v>70152.710000000006</v>
      </c>
      <c r="E22" s="17"/>
      <c r="G22" s="17"/>
      <c r="H22" s="17"/>
      <c r="I22" s="17"/>
      <c r="J22" s="17"/>
      <c r="K22" s="17"/>
      <c r="L22" s="17"/>
      <c r="M22" s="13"/>
      <c r="N22" s="13"/>
      <c r="O22" s="13"/>
      <c r="P22" s="13"/>
    </row>
    <row r="23" spans="1:16" ht="15" customHeight="1" x14ac:dyDescent="0.2">
      <c r="A23" s="59" t="s">
        <v>93</v>
      </c>
      <c r="B23" s="70">
        <f>61506.84-4230.11+4765.35</f>
        <v>62042.079999999994</v>
      </c>
      <c r="C23" s="70">
        <v>2837.84</v>
      </c>
      <c r="D23" s="96"/>
      <c r="E23" s="17"/>
      <c r="G23" s="17"/>
      <c r="H23" s="17"/>
      <c r="I23" s="17"/>
      <c r="J23" s="17"/>
      <c r="K23" s="17"/>
      <c r="L23" s="17"/>
      <c r="M23" s="13"/>
      <c r="N23" s="13"/>
      <c r="O23" s="13"/>
      <c r="P23" s="13"/>
    </row>
    <row r="24" spans="1:16" ht="15" customHeight="1" x14ac:dyDescent="0.2">
      <c r="A24" s="69" t="s">
        <v>94</v>
      </c>
      <c r="B24" s="73">
        <f>B12+B15+B16+B17+B18</f>
        <v>2046337.2500000005</v>
      </c>
      <c r="C24" s="73">
        <f>C12+C15+C16+C17+C18</f>
        <v>2160746.1</v>
      </c>
      <c r="D24" s="90"/>
      <c r="E24" s="97"/>
      <c r="G24" s="17"/>
      <c r="H24" s="17"/>
      <c r="I24" s="17"/>
      <c r="J24" s="17"/>
      <c r="K24" s="17"/>
      <c r="L24" s="17"/>
      <c r="M24" s="13"/>
      <c r="N24" s="13"/>
      <c r="O24" s="13"/>
      <c r="P24" s="13"/>
    </row>
    <row r="25" spans="1:16" ht="15" customHeight="1" x14ac:dyDescent="0.2">
      <c r="A25" s="69" t="s">
        <v>143</v>
      </c>
      <c r="B25" s="73"/>
      <c r="C25" s="73"/>
      <c r="E25" s="17"/>
      <c r="G25" s="17"/>
      <c r="H25" s="17"/>
      <c r="I25" s="17"/>
      <c r="J25" s="17"/>
      <c r="K25" s="17"/>
      <c r="L25" s="17"/>
      <c r="M25" s="13"/>
      <c r="N25" s="13"/>
      <c r="O25" s="13"/>
      <c r="P25" s="13"/>
    </row>
    <row r="26" spans="1:16" ht="15" customHeight="1" x14ac:dyDescent="0.2">
      <c r="A26" s="69" t="s">
        <v>95</v>
      </c>
      <c r="B26" s="72">
        <v>32344.04</v>
      </c>
      <c r="C26" s="72">
        <v>49796.19</v>
      </c>
      <c r="D26" s="96"/>
      <c r="E26" s="17"/>
      <c r="G26" s="17"/>
      <c r="H26" s="17"/>
      <c r="I26" s="17"/>
      <c r="J26" s="17"/>
      <c r="K26" s="17"/>
      <c r="L26" s="17"/>
      <c r="M26" s="13"/>
      <c r="N26" s="13"/>
      <c r="O26" s="13"/>
      <c r="P26" s="13"/>
    </row>
    <row r="27" spans="1:16" ht="15" customHeight="1" x14ac:dyDescent="0.2">
      <c r="A27" s="69" t="s">
        <v>96</v>
      </c>
      <c r="B27" s="73">
        <f>B28+B29</f>
        <v>728165.44</v>
      </c>
      <c r="C27" s="73">
        <f>C28+C29</f>
        <v>768958.40999999992</v>
      </c>
      <c r="D27" s="96"/>
      <c r="E27" s="17"/>
      <c r="G27" s="17"/>
      <c r="H27" s="17"/>
      <c r="I27" s="17"/>
      <c r="J27" s="17"/>
      <c r="K27" s="17"/>
      <c r="L27" s="17"/>
      <c r="M27" s="13"/>
      <c r="N27" s="13"/>
      <c r="O27" s="13"/>
      <c r="P27" s="13"/>
    </row>
    <row r="28" spans="1:16" ht="15" customHeight="1" x14ac:dyDescent="0.2">
      <c r="A28" s="59" t="s">
        <v>97</v>
      </c>
      <c r="B28" s="70">
        <f>86770.64+3072.18</f>
        <v>89842.819999999992</v>
      </c>
      <c r="C28" s="70">
        <f>148784.43+4446.39</f>
        <v>153230.82</v>
      </c>
      <c r="D28" s="96"/>
      <c r="E28" s="17"/>
      <c r="G28" s="17"/>
      <c r="H28" s="17"/>
      <c r="I28" s="17"/>
      <c r="J28" s="17"/>
      <c r="K28" s="17"/>
      <c r="L28" s="17"/>
      <c r="M28" s="13"/>
      <c r="N28" s="13"/>
      <c r="O28" s="13"/>
      <c r="P28" s="13"/>
    </row>
    <row r="29" spans="1:16" ht="15" customHeight="1" x14ac:dyDescent="0.2">
      <c r="A29" s="59" t="s">
        <v>98</v>
      </c>
      <c r="B29" s="74">
        <f>244496.14+390603.88+3222.6</f>
        <v>638322.62</v>
      </c>
      <c r="C29" s="74">
        <f>249903.06+362498.71+3325.82</f>
        <v>615727.59</v>
      </c>
      <c r="D29" s="96"/>
      <c r="E29" s="17"/>
      <c r="G29" s="17"/>
      <c r="H29" s="17"/>
      <c r="I29" s="17"/>
      <c r="J29" s="17"/>
      <c r="K29" s="17"/>
      <c r="L29" s="17"/>
      <c r="M29" s="13"/>
      <c r="N29" s="13"/>
      <c r="O29" s="13"/>
      <c r="P29" s="13"/>
    </row>
    <row r="30" spans="1:16" ht="15" customHeight="1" x14ac:dyDescent="0.2">
      <c r="A30" s="69" t="s">
        <v>99</v>
      </c>
      <c r="B30" s="73">
        <v>75734.39</v>
      </c>
      <c r="C30" s="73">
        <v>65594.649999999994</v>
      </c>
      <c r="D30" s="96"/>
      <c r="E30" s="17"/>
      <c r="G30" s="17"/>
      <c r="H30" s="17"/>
      <c r="I30" s="17"/>
      <c r="J30" s="17"/>
      <c r="K30" s="17"/>
      <c r="L30" s="17"/>
      <c r="M30" s="13"/>
      <c r="N30" s="13"/>
      <c r="O30" s="13"/>
      <c r="P30" s="13"/>
    </row>
    <row r="31" spans="1:16" ht="15" customHeight="1" x14ac:dyDescent="0.2">
      <c r="A31" s="69" t="s">
        <v>100</v>
      </c>
      <c r="B31" s="73">
        <f>SUM(B32:B36)</f>
        <v>885489.3899999999</v>
      </c>
      <c r="C31" s="73">
        <f>SUM(C32:C36)</f>
        <v>882742.85</v>
      </c>
      <c r="D31" s="90"/>
      <c r="E31" s="90"/>
      <c r="G31" s="90"/>
      <c r="H31" s="17"/>
      <c r="I31" s="17"/>
      <c r="J31" s="17"/>
      <c r="K31" s="17"/>
      <c r="L31" s="17"/>
      <c r="M31" s="13"/>
      <c r="N31" s="13"/>
      <c r="O31" s="13"/>
      <c r="P31" s="13"/>
    </row>
    <row r="32" spans="1:16" ht="15" customHeight="1" x14ac:dyDescent="0.2">
      <c r="A32" s="59" t="s">
        <v>101</v>
      </c>
      <c r="B32" s="70">
        <v>693241.45</v>
      </c>
      <c r="C32" s="70">
        <v>689413.97</v>
      </c>
      <c r="D32" s="90"/>
      <c r="E32" s="90"/>
      <c r="G32" s="17"/>
      <c r="H32" s="17"/>
      <c r="I32" s="17"/>
      <c r="J32" s="17"/>
      <c r="K32" s="17"/>
      <c r="L32" s="17"/>
      <c r="M32" s="13"/>
      <c r="N32" s="13"/>
      <c r="O32" s="13"/>
      <c r="P32" s="13"/>
    </row>
    <row r="33" spans="1:16" ht="15" customHeight="1" x14ac:dyDescent="0.2">
      <c r="A33" s="59" t="s">
        <v>102</v>
      </c>
      <c r="B33" s="70">
        <f>195470.54-3222.6</f>
        <v>192247.94</v>
      </c>
      <c r="C33" s="70">
        <f>196654.7-3325.82</f>
        <v>193328.88</v>
      </c>
      <c r="D33" s="90"/>
      <c r="E33" s="90"/>
      <c r="G33" s="17"/>
      <c r="H33" s="17"/>
      <c r="I33" s="17"/>
      <c r="J33" s="17"/>
      <c r="K33" s="17"/>
      <c r="L33" s="17"/>
      <c r="M33" s="13"/>
      <c r="N33" s="13"/>
      <c r="O33" s="13"/>
      <c r="P33" s="13"/>
    </row>
    <row r="34" spans="1:16" ht="15" customHeight="1" x14ac:dyDescent="0.2">
      <c r="A34" s="59" t="s">
        <v>103</v>
      </c>
      <c r="B34" s="70">
        <v>0</v>
      </c>
      <c r="C34" s="70">
        <v>0</v>
      </c>
      <c r="E34" s="17"/>
      <c r="G34" s="17"/>
      <c r="H34" s="17"/>
      <c r="I34" s="17"/>
      <c r="J34" s="17"/>
      <c r="K34" s="17"/>
      <c r="L34" s="17"/>
      <c r="M34" s="13"/>
      <c r="N34" s="13"/>
      <c r="O34" s="13"/>
      <c r="P34" s="13"/>
    </row>
    <row r="35" spans="1:16" ht="15" customHeight="1" x14ac:dyDescent="0.2">
      <c r="A35" s="59" t="s">
        <v>104</v>
      </c>
      <c r="B35" s="70">
        <v>0</v>
      </c>
      <c r="C35" s="70">
        <v>0</v>
      </c>
      <c r="E35" s="17"/>
      <c r="G35" s="17"/>
      <c r="H35" s="17"/>
      <c r="I35" s="17"/>
      <c r="J35" s="17"/>
      <c r="K35" s="17"/>
      <c r="L35" s="17"/>
      <c r="M35" s="13"/>
      <c r="N35" s="13"/>
      <c r="O35" s="13"/>
      <c r="P35" s="13"/>
    </row>
    <row r="36" spans="1:16" ht="15" customHeight="1" x14ac:dyDescent="0.2">
      <c r="A36" s="59" t="s">
        <v>105</v>
      </c>
      <c r="B36" s="70">
        <v>0</v>
      </c>
      <c r="C36" s="70">
        <v>0</v>
      </c>
      <c r="E36" s="17"/>
      <c r="G36" s="17"/>
      <c r="H36" s="17"/>
      <c r="I36" s="17"/>
      <c r="J36" s="17"/>
      <c r="K36" s="17"/>
      <c r="L36" s="17"/>
      <c r="M36" s="13"/>
      <c r="N36" s="13"/>
      <c r="O36" s="13"/>
      <c r="P36" s="13"/>
    </row>
    <row r="37" spans="1:16" ht="15" customHeight="1" x14ac:dyDescent="0.2">
      <c r="A37" s="69" t="s">
        <v>106</v>
      </c>
      <c r="B37" s="73">
        <f>B38+B39</f>
        <v>67059.929999999993</v>
      </c>
      <c r="C37" s="73">
        <f>C38+C39</f>
        <v>71540.150000000009</v>
      </c>
      <c r="E37" s="17"/>
      <c r="G37" s="17"/>
      <c r="H37" s="17"/>
      <c r="I37" s="17"/>
      <c r="J37" s="17"/>
      <c r="K37" s="17"/>
      <c r="L37" s="17"/>
      <c r="M37" s="13"/>
      <c r="N37" s="13"/>
      <c r="O37" s="13"/>
      <c r="P37" s="13"/>
    </row>
    <row r="38" spans="1:16" ht="15" customHeight="1" x14ac:dyDescent="0.2">
      <c r="A38" s="59" t="s">
        <v>107</v>
      </c>
      <c r="B38" s="70">
        <v>1006.54</v>
      </c>
      <c r="C38" s="70">
        <v>4271.74</v>
      </c>
      <c r="E38" s="17"/>
      <c r="G38" s="17"/>
      <c r="H38" s="17"/>
      <c r="I38" s="17"/>
      <c r="J38" s="17"/>
      <c r="K38" s="17"/>
      <c r="L38" s="17"/>
      <c r="M38" s="13"/>
      <c r="N38" s="13"/>
      <c r="O38" s="13"/>
      <c r="P38" s="13"/>
    </row>
    <row r="39" spans="1:16" ht="15" customHeight="1" x14ac:dyDescent="0.2">
      <c r="A39" s="59" t="s">
        <v>108</v>
      </c>
      <c r="B39" s="70">
        <v>66053.39</v>
      </c>
      <c r="C39" s="70">
        <v>67268.41</v>
      </c>
      <c r="E39" s="17"/>
      <c r="G39" s="17"/>
      <c r="H39" s="17"/>
      <c r="I39" s="17"/>
      <c r="J39" s="17"/>
      <c r="K39" s="17"/>
      <c r="L39" s="17"/>
      <c r="M39" s="13"/>
      <c r="N39" s="13"/>
      <c r="O39" s="13"/>
      <c r="P39" s="13"/>
    </row>
    <row r="40" spans="1:16" ht="15" customHeight="1" x14ac:dyDescent="0.2">
      <c r="A40" s="69" t="s">
        <v>109</v>
      </c>
      <c r="B40" s="73">
        <v>0</v>
      </c>
      <c r="C40" s="73">
        <v>0</v>
      </c>
      <c r="E40" s="17"/>
      <c r="G40" s="17"/>
      <c r="H40" s="17"/>
      <c r="I40" s="17"/>
      <c r="J40" s="17"/>
      <c r="K40" s="17"/>
      <c r="L40" s="17"/>
      <c r="M40" s="13"/>
      <c r="N40" s="13"/>
      <c r="O40" s="13"/>
      <c r="P40" s="13"/>
    </row>
    <row r="41" spans="1:16" ht="15" customHeight="1" x14ac:dyDescent="0.2">
      <c r="A41" s="69" t="s">
        <v>110</v>
      </c>
      <c r="B41" s="73">
        <f>SUM(B42:B47)</f>
        <v>82652.209999999992</v>
      </c>
      <c r="C41" s="73">
        <f>SUM(C42:C47)</f>
        <v>85869.17</v>
      </c>
      <c r="E41" s="90"/>
      <c r="G41" s="17"/>
      <c r="H41" s="17"/>
      <c r="I41" s="17"/>
      <c r="J41" s="17"/>
      <c r="K41" s="17"/>
      <c r="L41" s="17"/>
      <c r="M41" s="13"/>
      <c r="N41" s="13"/>
      <c r="O41" s="13"/>
      <c r="P41" s="13"/>
    </row>
    <row r="42" spans="1:16" ht="15" customHeight="1" x14ac:dyDescent="0.2">
      <c r="A42" s="59" t="s">
        <v>111</v>
      </c>
      <c r="B42" s="70">
        <v>0</v>
      </c>
      <c r="C42" s="70">
        <v>0</v>
      </c>
      <c r="E42" s="17"/>
      <c r="G42" s="17"/>
      <c r="H42" s="17"/>
      <c r="I42" s="17"/>
      <c r="J42" s="17"/>
      <c r="K42" s="17"/>
      <c r="L42" s="17"/>
      <c r="M42" s="13"/>
      <c r="N42" s="13"/>
      <c r="O42" s="13"/>
      <c r="P42" s="13"/>
    </row>
    <row r="43" spans="1:16" ht="15" customHeight="1" x14ac:dyDescent="0.2">
      <c r="A43" s="59" t="s">
        <v>212</v>
      </c>
      <c r="B43" s="70">
        <v>10000</v>
      </c>
      <c r="C43" s="70">
        <v>0</v>
      </c>
      <c r="E43" s="17"/>
      <c r="G43" s="17"/>
      <c r="H43" s="17"/>
      <c r="I43" s="17"/>
      <c r="J43" s="17"/>
      <c r="K43" s="17"/>
      <c r="L43" s="17"/>
      <c r="M43" s="13"/>
      <c r="N43" s="13"/>
      <c r="O43" s="13"/>
      <c r="P43" s="13"/>
    </row>
    <row r="44" spans="1:16" ht="15" customHeight="1" x14ac:dyDescent="0.2">
      <c r="A44" s="59" t="s">
        <v>112</v>
      </c>
      <c r="B44" s="70">
        <v>24157.43</v>
      </c>
      <c r="C44" s="70">
        <v>14234.72</v>
      </c>
      <c r="D44" s="90"/>
      <c r="E44" s="17"/>
      <c r="G44" s="17"/>
      <c r="H44" s="17"/>
      <c r="I44" s="17"/>
      <c r="J44" s="17"/>
      <c r="K44" s="17"/>
      <c r="L44" s="17"/>
      <c r="M44" s="13"/>
      <c r="N44" s="13"/>
      <c r="O44" s="13"/>
      <c r="P44" s="13"/>
    </row>
    <row r="45" spans="1:16" ht="15" customHeight="1" x14ac:dyDescent="0.2">
      <c r="A45" s="59" t="s">
        <v>213</v>
      </c>
      <c r="B45" s="70">
        <f>12307+14716.8</f>
        <v>27023.8</v>
      </c>
      <c r="C45" s="70">
        <v>8879</v>
      </c>
      <c r="E45" s="17"/>
      <c r="G45" s="17"/>
      <c r="H45" s="17"/>
      <c r="I45" s="17"/>
      <c r="J45" s="17"/>
      <c r="K45" s="17"/>
      <c r="L45" s="17"/>
      <c r="M45" s="13"/>
      <c r="N45" s="13"/>
      <c r="O45" s="13"/>
      <c r="P45" s="13"/>
    </row>
    <row r="46" spans="1:16" ht="15" customHeight="1" x14ac:dyDescent="0.2">
      <c r="A46" s="59" t="s">
        <v>113</v>
      </c>
      <c r="B46" s="70">
        <v>13470.98</v>
      </c>
      <c r="C46" s="70">
        <v>50063.42</v>
      </c>
      <c r="E46" s="17"/>
      <c r="G46" s="17"/>
      <c r="H46" s="17"/>
      <c r="I46" s="17"/>
      <c r="J46" s="17"/>
      <c r="K46" s="17"/>
      <c r="L46" s="17"/>
      <c r="M46" s="13"/>
      <c r="N46" s="13"/>
      <c r="O46" s="13"/>
      <c r="P46" s="13"/>
    </row>
    <row r="47" spans="1:16" ht="15" customHeight="1" x14ac:dyDescent="0.2">
      <c r="A47" s="59" t="s">
        <v>114</v>
      </c>
      <c r="B47" s="70">
        <v>8000</v>
      </c>
      <c r="C47" s="70">
        <v>12692.03</v>
      </c>
      <c r="E47" s="17"/>
      <c r="G47" s="17"/>
      <c r="H47" s="17"/>
      <c r="I47" s="17"/>
      <c r="J47" s="17"/>
      <c r="K47" s="17"/>
      <c r="L47" s="17"/>
      <c r="M47" s="13"/>
      <c r="N47" s="13"/>
      <c r="O47" s="13"/>
      <c r="P47" s="13"/>
    </row>
    <row r="48" spans="1:16" ht="15" customHeight="1" x14ac:dyDescent="0.2">
      <c r="A48" s="69" t="s">
        <v>115</v>
      </c>
      <c r="B48" s="73">
        <v>8485.9</v>
      </c>
      <c r="C48" s="73">
        <f>8000+2500</f>
        <v>10500</v>
      </c>
      <c r="D48" s="90"/>
      <c r="E48" s="17"/>
      <c r="G48" s="17"/>
      <c r="H48" s="17"/>
      <c r="I48" s="17"/>
      <c r="J48" s="17"/>
      <c r="K48" s="17"/>
      <c r="L48" s="17"/>
      <c r="M48" s="13"/>
      <c r="N48" s="13"/>
      <c r="O48" s="13"/>
      <c r="P48" s="13"/>
    </row>
    <row r="49" spans="1:16" ht="15" customHeight="1" x14ac:dyDescent="0.2">
      <c r="A49" s="69" t="s">
        <v>116</v>
      </c>
      <c r="B49" s="73">
        <v>107450.94</v>
      </c>
      <c r="C49" s="73">
        <f>87155.47+20.9</f>
        <v>87176.37</v>
      </c>
      <c r="D49" s="90"/>
      <c r="E49" s="91"/>
      <c r="G49" s="17"/>
      <c r="H49" s="17"/>
      <c r="I49" s="17"/>
      <c r="J49" s="17"/>
      <c r="K49" s="17"/>
      <c r="L49" s="17"/>
      <c r="M49" s="13"/>
      <c r="N49" s="13"/>
      <c r="O49" s="13"/>
      <c r="P49" s="13"/>
    </row>
    <row r="50" spans="1:16" ht="15" customHeight="1" x14ac:dyDescent="0.2">
      <c r="A50" s="75" t="s">
        <v>117</v>
      </c>
      <c r="B50" s="73">
        <f>B26+B27+B30+B31+B37+B40+B41+B48+B49</f>
        <v>1987382.2399999995</v>
      </c>
      <c r="C50" s="73">
        <f>C26+C27+C30+C31+C37+C40+C41+C48+C49</f>
        <v>2022177.7899999996</v>
      </c>
      <c r="D50" s="90"/>
      <c r="E50" s="97"/>
      <c r="G50" s="17"/>
      <c r="H50" s="17"/>
      <c r="I50" s="17"/>
      <c r="J50" s="17"/>
      <c r="K50" s="17"/>
      <c r="L50" s="17"/>
      <c r="M50" s="13"/>
      <c r="N50" s="13"/>
      <c r="O50" s="13"/>
      <c r="P50" s="13"/>
    </row>
    <row r="51" spans="1:16" ht="15" customHeight="1" x14ac:dyDescent="0.2">
      <c r="A51" s="76" t="s">
        <v>118</v>
      </c>
      <c r="B51" s="77">
        <f>B24-B50</f>
        <v>58955.010000000941</v>
      </c>
      <c r="C51" s="77">
        <f>C24-C50</f>
        <v>138568.31000000052</v>
      </c>
      <c r="D51" s="90"/>
      <c r="E51" s="97"/>
      <c r="G51" s="17"/>
      <c r="H51" s="17"/>
      <c r="I51" s="17"/>
      <c r="J51" s="17"/>
      <c r="K51" s="17"/>
      <c r="L51" s="17"/>
      <c r="M51" s="13"/>
      <c r="N51" s="13"/>
      <c r="O51" s="13"/>
      <c r="P51" s="13"/>
    </row>
    <row r="52" spans="1:16" ht="15" customHeight="1" x14ac:dyDescent="0.2">
      <c r="A52" s="69" t="s">
        <v>119</v>
      </c>
      <c r="B52" s="74"/>
      <c r="C52" s="74"/>
      <c r="D52" s="17"/>
      <c r="E52" s="91"/>
      <c r="G52" s="17"/>
      <c r="H52" s="17"/>
      <c r="I52" s="17"/>
      <c r="J52" s="17"/>
      <c r="K52" s="17"/>
      <c r="L52" s="17"/>
      <c r="M52" s="13"/>
      <c r="N52" s="13"/>
      <c r="O52" s="13"/>
      <c r="P52" s="13"/>
    </row>
    <row r="53" spans="1:16" ht="15" customHeight="1" x14ac:dyDescent="0.2">
      <c r="A53" s="69" t="s">
        <v>120</v>
      </c>
      <c r="B53" s="72">
        <f>SUM(B54:B56)</f>
        <v>0.04</v>
      </c>
      <c r="C53" s="72">
        <f>SUM(C54:C56)</f>
        <v>0.09</v>
      </c>
      <c r="D53" s="17"/>
      <c r="E53" s="91"/>
      <c r="G53" s="17"/>
      <c r="H53" s="17"/>
      <c r="I53" s="17"/>
      <c r="J53" s="17"/>
      <c r="K53" s="17"/>
      <c r="L53" s="17"/>
      <c r="M53" s="13"/>
      <c r="N53" s="13"/>
      <c r="O53" s="13"/>
      <c r="P53" s="13"/>
    </row>
    <row r="54" spans="1:16" ht="15" customHeight="1" x14ac:dyDescent="0.2">
      <c r="A54" s="59" t="s">
        <v>121</v>
      </c>
      <c r="B54" s="70">
        <v>0.04</v>
      </c>
      <c r="C54" s="70">
        <v>0.09</v>
      </c>
      <c r="D54" s="17"/>
      <c r="E54" s="91"/>
      <c r="G54" s="17"/>
      <c r="H54" s="17"/>
      <c r="I54" s="17"/>
      <c r="J54" s="17"/>
      <c r="K54" s="17"/>
      <c r="L54" s="17"/>
      <c r="M54" s="13"/>
      <c r="N54" s="13"/>
      <c r="O54" s="13"/>
      <c r="P54" s="13"/>
    </row>
    <row r="55" spans="1:16" ht="15" customHeight="1" x14ac:dyDescent="0.2">
      <c r="A55" s="59" t="s">
        <v>122</v>
      </c>
      <c r="B55" s="74">
        <v>0</v>
      </c>
      <c r="C55" s="74">
        <v>0</v>
      </c>
      <c r="D55" s="17"/>
      <c r="E55" s="91"/>
      <c r="G55" s="17"/>
      <c r="H55" s="17"/>
      <c r="I55" s="17"/>
      <c r="J55" s="17"/>
      <c r="K55" s="17"/>
      <c r="L55" s="17"/>
      <c r="M55" s="13"/>
      <c r="N55" s="13"/>
      <c r="O55" s="13"/>
      <c r="P55" s="13"/>
    </row>
    <row r="56" spans="1:16" ht="15" customHeight="1" x14ac:dyDescent="0.2">
      <c r="A56" s="59" t="s">
        <v>123</v>
      </c>
      <c r="B56" s="74">
        <v>0</v>
      </c>
      <c r="C56" s="74">
        <v>0</v>
      </c>
      <c r="D56" s="17"/>
      <c r="E56" s="91"/>
      <c r="G56" s="17"/>
      <c r="H56" s="17"/>
      <c r="I56" s="17"/>
      <c r="J56" s="17"/>
      <c r="K56" s="17"/>
      <c r="L56" s="17"/>
      <c r="M56" s="13"/>
      <c r="N56" s="13"/>
      <c r="O56" s="13"/>
      <c r="P56" s="13"/>
    </row>
    <row r="57" spans="1:16" ht="15" customHeight="1" x14ac:dyDescent="0.2">
      <c r="A57" s="69" t="s">
        <v>124</v>
      </c>
      <c r="B57" s="72">
        <f>SUM(B58:B59)</f>
        <v>0</v>
      </c>
      <c r="C57" s="72">
        <f>SUM(C58:C59)</f>
        <v>0</v>
      </c>
      <c r="D57" s="17"/>
      <c r="E57" s="91"/>
      <c r="G57" s="17"/>
      <c r="H57" s="17"/>
      <c r="I57" s="17"/>
      <c r="J57" s="17"/>
      <c r="K57" s="17"/>
      <c r="L57" s="17"/>
      <c r="M57" s="13"/>
      <c r="N57" s="13"/>
      <c r="O57" s="13"/>
      <c r="P57" s="13"/>
    </row>
    <row r="58" spans="1:16" ht="15" customHeight="1" x14ac:dyDescent="0.2">
      <c r="A58" s="59" t="s">
        <v>125</v>
      </c>
      <c r="B58" s="70">
        <v>0</v>
      </c>
      <c r="C58" s="70">
        <v>0</v>
      </c>
      <c r="D58" s="17"/>
      <c r="E58" s="91"/>
      <c r="G58" s="17"/>
      <c r="H58" s="17"/>
      <c r="I58" s="17"/>
      <c r="J58" s="17"/>
      <c r="K58" s="17"/>
      <c r="L58" s="17"/>
      <c r="M58" s="13"/>
      <c r="N58" s="13"/>
      <c r="O58" s="13"/>
      <c r="P58" s="13"/>
    </row>
    <row r="59" spans="1:16" ht="15" customHeight="1" x14ac:dyDescent="0.2">
      <c r="A59" s="59" t="s">
        <v>126</v>
      </c>
      <c r="B59" s="74">
        <v>0</v>
      </c>
      <c r="C59" s="74">
        <v>0</v>
      </c>
      <c r="D59" s="17"/>
      <c r="E59" s="91"/>
      <c r="G59" s="17"/>
      <c r="H59" s="17"/>
      <c r="I59" s="17"/>
      <c r="J59" s="17"/>
      <c r="K59" s="17"/>
      <c r="L59" s="17"/>
      <c r="M59" s="13"/>
      <c r="N59" s="13"/>
      <c r="O59" s="13"/>
      <c r="P59" s="13"/>
    </row>
    <row r="60" spans="1:16" ht="15" customHeight="1" x14ac:dyDescent="0.2">
      <c r="A60" s="69" t="s">
        <v>127</v>
      </c>
      <c r="B60" s="72">
        <f>SUM(B61:B63)</f>
        <v>0</v>
      </c>
      <c r="C60" s="72">
        <f>SUM(C61:C63)</f>
        <v>0</v>
      </c>
      <c r="D60" s="17"/>
      <c r="E60" s="91"/>
      <c r="G60" s="17"/>
      <c r="H60" s="17"/>
      <c r="I60" s="17"/>
      <c r="J60" s="17"/>
      <c r="K60" s="17"/>
      <c r="L60" s="17"/>
      <c r="M60" s="13"/>
      <c r="N60" s="13"/>
      <c r="O60" s="13"/>
      <c r="P60" s="13"/>
    </row>
    <row r="61" spans="1:16" ht="15" customHeight="1" x14ac:dyDescent="0.2">
      <c r="A61" s="59" t="s">
        <v>128</v>
      </c>
      <c r="B61" s="70">
        <v>0</v>
      </c>
      <c r="C61" s="70">
        <v>0</v>
      </c>
      <c r="D61" s="17"/>
      <c r="E61" s="91"/>
      <c r="G61" s="17"/>
      <c r="H61" s="17"/>
      <c r="I61" s="17"/>
      <c r="J61" s="17"/>
      <c r="K61" s="17"/>
      <c r="L61" s="17"/>
      <c r="M61" s="13"/>
      <c r="N61" s="13"/>
      <c r="O61" s="13"/>
      <c r="P61" s="13"/>
    </row>
    <row r="62" spans="1:16" ht="15" customHeight="1" x14ac:dyDescent="0.2">
      <c r="A62" s="59" t="s">
        <v>129</v>
      </c>
      <c r="B62" s="74">
        <v>0</v>
      </c>
      <c r="C62" s="74">
        <v>0</v>
      </c>
      <c r="D62" s="17"/>
      <c r="E62" s="91"/>
      <c r="G62" s="17"/>
      <c r="H62" s="17"/>
      <c r="I62" s="17"/>
      <c r="J62" s="17"/>
      <c r="K62" s="17"/>
      <c r="L62" s="17"/>
      <c r="M62" s="13"/>
      <c r="N62" s="13"/>
      <c r="O62" s="13"/>
      <c r="P62" s="13"/>
    </row>
    <row r="63" spans="1:16" ht="15" customHeight="1" x14ac:dyDescent="0.2">
      <c r="A63" s="59" t="s">
        <v>130</v>
      </c>
      <c r="B63" s="74">
        <v>0</v>
      </c>
      <c r="C63" s="74">
        <v>0</v>
      </c>
      <c r="D63" s="17"/>
      <c r="E63" s="91"/>
      <c r="G63" s="17"/>
      <c r="H63" s="17"/>
      <c r="I63" s="17"/>
      <c r="J63" s="17"/>
      <c r="K63" s="17"/>
      <c r="L63" s="17"/>
      <c r="M63" s="13"/>
      <c r="N63" s="13"/>
      <c r="O63" s="13"/>
      <c r="P63" s="13"/>
    </row>
    <row r="64" spans="1:16" ht="15" customHeight="1" x14ac:dyDescent="0.2">
      <c r="A64" s="69" t="s">
        <v>131</v>
      </c>
      <c r="B64" s="73">
        <v>8.02</v>
      </c>
      <c r="C64" s="73">
        <v>403.36</v>
      </c>
      <c r="D64" s="17"/>
      <c r="E64" s="91"/>
      <c r="G64" s="17"/>
      <c r="H64" s="17"/>
      <c r="I64" s="17"/>
      <c r="J64" s="17"/>
      <c r="K64" s="17"/>
      <c r="L64" s="17"/>
      <c r="M64" s="13"/>
      <c r="N64" s="13"/>
      <c r="O64" s="13"/>
      <c r="P64" s="13"/>
    </row>
    <row r="65" spans="1:16" ht="15" customHeight="1" x14ac:dyDescent="0.2">
      <c r="A65" s="76" t="s">
        <v>132</v>
      </c>
      <c r="B65" s="77">
        <f>B53+B57-B60-B64</f>
        <v>-7.9799999999999995</v>
      </c>
      <c r="C65" s="77">
        <f>C53+C57-C60-C64</f>
        <v>-403.27000000000004</v>
      </c>
      <c r="D65" s="17"/>
      <c r="E65" s="91"/>
      <c r="G65" s="17"/>
      <c r="H65" s="17"/>
      <c r="I65" s="17"/>
      <c r="J65" s="17"/>
      <c r="K65" s="17"/>
      <c r="L65" s="17"/>
      <c r="M65" s="13"/>
      <c r="N65" s="13"/>
      <c r="O65" s="13"/>
      <c r="P65" s="13"/>
    </row>
    <row r="66" spans="1:16" ht="15" customHeight="1" x14ac:dyDescent="0.2">
      <c r="A66" s="69" t="s">
        <v>133</v>
      </c>
      <c r="B66" s="74"/>
      <c r="C66" s="74"/>
      <c r="D66" s="17"/>
      <c r="E66" s="91"/>
      <c r="G66" s="17"/>
      <c r="H66" s="17"/>
      <c r="I66" s="17"/>
      <c r="J66" s="17"/>
      <c r="K66" s="17"/>
      <c r="L66" s="17"/>
      <c r="M66" s="13"/>
      <c r="N66" s="13"/>
      <c r="O66" s="13"/>
      <c r="P66" s="13"/>
    </row>
    <row r="67" spans="1:16" ht="15" customHeight="1" x14ac:dyDescent="0.2">
      <c r="A67" s="69" t="s">
        <v>134</v>
      </c>
      <c r="B67" s="74">
        <v>0</v>
      </c>
      <c r="C67" s="74">
        <v>0</v>
      </c>
      <c r="E67" s="91"/>
    </row>
    <row r="68" spans="1:16" ht="15" customHeight="1" x14ac:dyDescent="0.2">
      <c r="A68" s="69" t="s">
        <v>135</v>
      </c>
      <c r="B68" s="70">
        <v>0</v>
      </c>
      <c r="C68" s="70">
        <v>0</v>
      </c>
      <c r="E68" s="91"/>
    </row>
    <row r="69" spans="1:16" ht="15" customHeight="1" x14ac:dyDescent="0.2">
      <c r="A69" s="76" t="s">
        <v>136</v>
      </c>
      <c r="B69" s="77">
        <f>B67-B68</f>
        <v>0</v>
      </c>
      <c r="C69" s="77">
        <f>C67-C68</f>
        <v>0</v>
      </c>
      <c r="E69" s="91"/>
    </row>
    <row r="70" spans="1:16" ht="15" hidden="1" customHeight="1" x14ac:dyDescent="0.2">
      <c r="A70" s="69" t="s">
        <v>137</v>
      </c>
      <c r="B70" s="73"/>
      <c r="C70" s="73"/>
      <c r="E70" s="91"/>
    </row>
    <row r="71" spans="1:16" ht="15" hidden="1" customHeight="1" x14ac:dyDescent="0.2">
      <c r="A71" s="69" t="s">
        <v>138</v>
      </c>
      <c r="B71" s="70">
        <v>0</v>
      </c>
      <c r="C71" s="70">
        <v>0</v>
      </c>
      <c r="E71" s="91"/>
    </row>
    <row r="72" spans="1:16" ht="15" hidden="1" customHeight="1" x14ac:dyDescent="0.2">
      <c r="A72" s="69" t="s">
        <v>139</v>
      </c>
      <c r="B72" s="70">
        <v>0</v>
      </c>
      <c r="C72" s="70">
        <v>0</v>
      </c>
      <c r="E72" s="91"/>
    </row>
    <row r="73" spans="1:16" ht="15" hidden="1" customHeight="1" x14ac:dyDescent="0.2">
      <c r="A73" s="76" t="s">
        <v>140</v>
      </c>
      <c r="B73" s="77">
        <f>B71-B72</f>
        <v>0</v>
      </c>
      <c r="C73" s="77">
        <f>C71-C72</f>
        <v>0</v>
      </c>
      <c r="E73" s="91"/>
    </row>
    <row r="74" spans="1:16" ht="15" customHeight="1" x14ac:dyDescent="0.2">
      <c r="A74" s="69" t="s">
        <v>203</v>
      </c>
      <c r="B74" s="73">
        <f>B51+B65+B69+B73</f>
        <v>58947.030000000937</v>
      </c>
      <c r="C74" s="73">
        <f>C51+C65+C69+C73</f>
        <v>138165.04000000053</v>
      </c>
      <c r="D74" s="90"/>
      <c r="E74" s="91"/>
    </row>
    <row r="75" spans="1:16" ht="15" customHeight="1" x14ac:dyDescent="0.2">
      <c r="A75" s="59" t="s">
        <v>141</v>
      </c>
      <c r="B75" s="70">
        <v>58892.29</v>
      </c>
      <c r="C75" s="70">
        <v>65821.039999999994</v>
      </c>
      <c r="D75" s="90"/>
      <c r="E75" s="91"/>
    </row>
    <row r="76" spans="1:16" ht="15" customHeight="1" x14ac:dyDescent="0.2">
      <c r="A76" s="76" t="s">
        <v>142</v>
      </c>
      <c r="B76" s="77">
        <f>B74-B75</f>
        <v>54.740000000936561</v>
      </c>
      <c r="C76" s="77">
        <f>C74-C75</f>
        <v>72344.000000000538</v>
      </c>
      <c r="D76" s="90"/>
      <c r="E76" s="91"/>
    </row>
    <row r="77" spans="1:16" ht="15" customHeight="1" x14ac:dyDescent="0.2">
      <c r="B77" s="10"/>
    </row>
    <row r="90" spans="1:6" ht="15" customHeight="1" x14ac:dyDescent="0.2">
      <c r="A90" s="2"/>
      <c r="B90" s="2"/>
      <c r="C90" s="2"/>
      <c r="D90" s="2"/>
      <c r="E90" s="2"/>
      <c r="F90" s="78"/>
    </row>
    <row r="91" spans="1:6" ht="15" customHeight="1" x14ac:dyDescent="0.2">
      <c r="A91" s="14"/>
      <c r="B91" s="14"/>
      <c r="C91" s="14"/>
      <c r="D91" s="14"/>
      <c r="E91" s="14"/>
      <c r="F91" s="79"/>
    </row>
    <row r="92" spans="1:6" ht="15" customHeight="1" x14ac:dyDescent="0.2">
      <c r="A92" s="14"/>
      <c r="B92" s="14"/>
      <c r="C92" s="14"/>
      <c r="D92" s="14"/>
      <c r="E92" s="14"/>
      <c r="F92" s="79"/>
    </row>
    <row r="93" spans="1:6" ht="15" customHeight="1" x14ac:dyDescent="0.2">
      <c r="A93" s="14"/>
      <c r="B93" s="14"/>
      <c r="C93" s="14"/>
      <c r="D93" s="14"/>
      <c r="E93" s="14"/>
      <c r="F93" s="79"/>
    </row>
  </sheetData>
  <mergeCells count="6">
    <mergeCell ref="A9:C9"/>
    <mergeCell ref="A1:C1"/>
    <mergeCell ref="A2:C2"/>
    <mergeCell ref="A3:C3"/>
    <mergeCell ref="A6:C6"/>
    <mergeCell ref="A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tabSelected="1" workbookViewId="0">
      <selection activeCell="D76" sqref="D76"/>
    </sheetView>
  </sheetViews>
  <sheetFormatPr defaultColWidth="8.7109375" defaultRowHeight="15.75" x14ac:dyDescent="0.25"/>
  <cols>
    <col min="1" max="1" width="8.7109375" style="21" customWidth="1"/>
    <col min="2" max="2" width="52.42578125" style="38" customWidth="1"/>
    <col min="3" max="3" width="77" style="38" customWidth="1"/>
    <col min="4" max="4" width="12.7109375" style="31" customWidth="1"/>
    <col min="5" max="5" width="11.28515625" style="21" bestFit="1" customWidth="1"/>
    <col min="6" max="16384" width="8.7109375" style="21"/>
  </cols>
  <sheetData>
    <row r="1" spans="1:6" x14ac:dyDescent="0.25">
      <c r="A1" s="19"/>
      <c r="B1" s="35"/>
      <c r="C1" s="35"/>
      <c r="D1" s="20"/>
    </row>
    <row r="2" spans="1:6" x14ac:dyDescent="0.25">
      <c r="A2" s="19"/>
      <c r="B2" s="35"/>
      <c r="C2" s="36" t="s">
        <v>152</v>
      </c>
      <c r="D2" s="23" t="s">
        <v>210</v>
      </c>
    </row>
    <row r="3" spans="1:6" x14ac:dyDescent="0.25">
      <c r="A3" s="22"/>
      <c r="B3" s="36"/>
      <c r="C3" s="36"/>
      <c r="D3" s="20"/>
    </row>
    <row r="4" spans="1:6" ht="31.5" x14ac:dyDescent="0.25">
      <c r="A4" s="22"/>
      <c r="B4" s="36"/>
      <c r="C4" s="36" t="s">
        <v>153</v>
      </c>
      <c r="D4" s="24"/>
    </row>
    <row r="5" spans="1:6" x14ac:dyDescent="0.25">
      <c r="A5" s="25"/>
      <c r="B5" s="37"/>
      <c r="C5" s="37"/>
      <c r="D5" s="26"/>
    </row>
    <row r="6" spans="1:6" ht="31.5" x14ac:dyDescent="0.25">
      <c r="B6" s="33" t="s">
        <v>154</v>
      </c>
      <c r="C6" s="33" t="s">
        <v>154</v>
      </c>
      <c r="D6" s="27"/>
    </row>
    <row r="7" spans="1:6" x14ac:dyDescent="0.25">
      <c r="D7" s="27"/>
    </row>
    <row r="8" spans="1:6" x14ac:dyDescent="0.25">
      <c r="C8" s="38" t="s">
        <v>155</v>
      </c>
      <c r="D8" s="27">
        <v>54.74</v>
      </c>
      <c r="E8" s="40"/>
      <c r="F8" s="40"/>
    </row>
    <row r="9" spans="1:6" x14ac:dyDescent="0.25">
      <c r="C9" s="38" t="s">
        <v>156</v>
      </c>
      <c r="D9" s="27">
        <v>58892.29</v>
      </c>
    </row>
    <row r="10" spans="1:6" ht="31.5" x14ac:dyDescent="0.25">
      <c r="C10" s="38" t="s">
        <v>157</v>
      </c>
      <c r="D10" s="27">
        <v>-0.04</v>
      </c>
    </row>
    <row r="11" spans="1:6" x14ac:dyDescent="0.25">
      <c r="C11" s="38" t="s">
        <v>158</v>
      </c>
      <c r="D11" s="27">
        <v>0</v>
      </c>
    </row>
    <row r="12" spans="1:6" x14ac:dyDescent="0.25">
      <c r="C12" s="38" t="s">
        <v>159</v>
      </c>
      <c r="D12" s="27">
        <v>0</v>
      </c>
    </row>
    <row r="13" spans="1:6" ht="15.75" customHeight="1" x14ac:dyDescent="0.25">
      <c r="C13" s="28" t="s">
        <v>160</v>
      </c>
      <c r="D13" s="26">
        <f>SUM(D8:D12)</f>
        <v>58946.99</v>
      </c>
    </row>
    <row r="14" spans="1:6" x14ac:dyDescent="0.25">
      <c r="D14" s="27"/>
    </row>
    <row r="15" spans="1:6" ht="31.5" x14ac:dyDescent="0.25">
      <c r="B15" s="34" t="s">
        <v>161</v>
      </c>
      <c r="C15" s="34"/>
      <c r="D15" s="27"/>
    </row>
    <row r="16" spans="1:6" x14ac:dyDescent="0.25">
      <c r="C16" s="38" t="s">
        <v>162</v>
      </c>
      <c r="D16" s="27">
        <v>91138.11</v>
      </c>
    </row>
    <row r="17" spans="2:5" x14ac:dyDescent="0.25">
      <c r="C17" s="38" t="s">
        <v>163</v>
      </c>
      <c r="D17" s="27">
        <v>67059.929999999993</v>
      </c>
    </row>
    <row r="18" spans="2:5" x14ac:dyDescent="0.25">
      <c r="C18" s="38" t="s">
        <v>164</v>
      </c>
      <c r="D18" s="27">
        <f>ContoEconomico!B69</f>
        <v>0</v>
      </c>
    </row>
    <row r="19" spans="2:5" x14ac:dyDescent="0.25">
      <c r="C19" s="38" t="s">
        <v>165</v>
      </c>
      <c r="D19" s="27"/>
    </row>
    <row r="20" spans="2:5" x14ac:dyDescent="0.25">
      <c r="C20" s="28" t="s">
        <v>204</v>
      </c>
      <c r="D20" s="26">
        <f>SUM(D16:D19)</f>
        <v>158198.03999999998</v>
      </c>
    </row>
    <row r="21" spans="2:5" x14ac:dyDescent="0.25">
      <c r="C21" s="28"/>
      <c r="D21" s="27"/>
    </row>
    <row r="22" spans="2:5" x14ac:dyDescent="0.25">
      <c r="B22" s="34" t="s">
        <v>166</v>
      </c>
      <c r="C22" s="34"/>
      <c r="D22" s="27"/>
    </row>
    <row r="23" spans="2:5" x14ac:dyDescent="0.25">
      <c r="C23" s="38" t="s">
        <v>167</v>
      </c>
      <c r="D23" s="27">
        <v>0</v>
      </c>
    </row>
    <row r="24" spans="2:5" x14ac:dyDescent="0.25">
      <c r="C24" s="38" t="s">
        <v>168</v>
      </c>
      <c r="D24" s="27">
        <v>4181.8900000000003</v>
      </c>
    </row>
    <row r="25" spans="2:5" x14ac:dyDescent="0.25">
      <c r="C25" s="38" t="s">
        <v>169</v>
      </c>
      <c r="D25" s="27">
        <v>12913.44</v>
      </c>
    </row>
    <row r="26" spans="2:5" x14ac:dyDescent="0.25">
      <c r="C26" s="38" t="s">
        <v>170</v>
      </c>
      <c r="D26" s="27">
        <v>9148.49</v>
      </c>
    </row>
    <row r="27" spans="2:5" x14ac:dyDescent="0.25">
      <c r="C27" s="38" t="s">
        <v>171</v>
      </c>
      <c r="D27" s="27">
        <v>86006.81</v>
      </c>
    </row>
    <row r="28" spans="2:5" x14ac:dyDescent="0.25">
      <c r="C28" s="38" t="s">
        <v>172</v>
      </c>
      <c r="D28" s="27">
        <v>-103490.33</v>
      </c>
      <c r="E28" s="29"/>
    </row>
    <row r="29" spans="2:5" x14ac:dyDescent="0.25">
      <c r="C29" s="28" t="s">
        <v>205</v>
      </c>
      <c r="D29" s="26">
        <f>SUM(D22:D28)</f>
        <v>8760.3000000000029</v>
      </c>
      <c r="E29" s="40"/>
    </row>
    <row r="30" spans="2:5" x14ac:dyDescent="0.25">
      <c r="C30" s="28"/>
      <c r="D30" s="27"/>
    </row>
    <row r="31" spans="2:5" x14ac:dyDescent="0.25">
      <c r="C31" s="38" t="s">
        <v>173</v>
      </c>
      <c r="D31" s="27"/>
    </row>
    <row r="32" spans="2:5" x14ac:dyDescent="0.25">
      <c r="C32" s="38" t="s">
        <v>174</v>
      </c>
      <c r="D32" s="27">
        <v>0.04</v>
      </c>
    </row>
    <row r="33" spans="2:4" x14ac:dyDescent="0.25">
      <c r="C33" s="38" t="s">
        <v>175</v>
      </c>
      <c r="D33" s="27">
        <v>-60019.45</v>
      </c>
    </row>
    <row r="34" spans="2:4" x14ac:dyDescent="0.25">
      <c r="C34" s="38" t="s">
        <v>176</v>
      </c>
      <c r="D34" s="27"/>
    </row>
    <row r="35" spans="2:4" x14ac:dyDescent="0.25">
      <c r="C35" s="38" t="s">
        <v>177</v>
      </c>
      <c r="D35" s="27">
        <v>-115682.52</v>
      </c>
    </row>
    <row r="36" spans="2:4" x14ac:dyDescent="0.25">
      <c r="C36" s="28" t="s">
        <v>178</v>
      </c>
      <c r="D36" s="26">
        <f>SUM(D31:D35)</f>
        <v>-175701.93</v>
      </c>
    </row>
    <row r="37" spans="2:4" x14ac:dyDescent="0.25">
      <c r="C37" s="28"/>
      <c r="D37" s="27"/>
    </row>
    <row r="38" spans="2:4" x14ac:dyDescent="0.25">
      <c r="C38" s="39" t="s">
        <v>179</v>
      </c>
      <c r="D38" s="24">
        <f>D13+D20+D29+D36</f>
        <v>50203.399999999965</v>
      </c>
    </row>
    <row r="39" spans="2:4" x14ac:dyDescent="0.25">
      <c r="C39" s="28"/>
      <c r="D39" s="27"/>
    </row>
    <row r="40" spans="2:4" ht="15.75" customHeight="1" x14ac:dyDescent="0.25">
      <c r="B40" s="33" t="s">
        <v>180</v>
      </c>
      <c r="C40" s="33" t="s">
        <v>180</v>
      </c>
      <c r="D40" s="27"/>
    </row>
    <row r="41" spans="2:4" x14ac:dyDescent="0.25">
      <c r="B41" s="30"/>
      <c r="C41" s="30"/>
      <c r="D41" s="27"/>
    </row>
    <row r="42" spans="2:4" x14ac:dyDescent="0.25">
      <c r="C42" s="30" t="s">
        <v>181</v>
      </c>
      <c r="D42" s="26">
        <f>-SUM(D43:D44)</f>
        <v>-95054.22</v>
      </c>
    </row>
    <row r="43" spans="2:4" x14ac:dyDescent="0.25">
      <c r="C43" s="38" t="s">
        <v>182</v>
      </c>
      <c r="D43" s="27">
        <v>95054.22</v>
      </c>
    </row>
    <row r="44" spans="2:4" x14ac:dyDescent="0.25">
      <c r="C44" s="38" t="s">
        <v>183</v>
      </c>
      <c r="D44" s="27">
        <v>0</v>
      </c>
    </row>
    <row r="45" spans="2:4" x14ac:dyDescent="0.25">
      <c r="D45" s="27"/>
    </row>
    <row r="46" spans="2:4" x14ac:dyDescent="0.25">
      <c r="C46" s="30" t="s">
        <v>184</v>
      </c>
      <c r="D46" s="26">
        <f>-SUM(D47:D48)</f>
        <v>-65045.85</v>
      </c>
    </row>
    <row r="47" spans="2:4" x14ac:dyDescent="0.25">
      <c r="C47" s="38" t="s">
        <v>182</v>
      </c>
      <c r="D47" s="27">
        <v>65045.85</v>
      </c>
    </row>
    <row r="48" spans="2:4" x14ac:dyDescent="0.25">
      <c r="C48" s="38" t="s">
        <v>183</v>
      </c>
      <c r="D48" s="27">
        <v>0</v>
      </c>
    </row>
    <row r="49" spans="2:4" x14ac:dyDescent="0.25">
      <c r="D49" s="27"/>
    </row>
    <row r="50" spans="2:4" x14ac:dyDescent="0.25">
      <c r="C50" s="30" t="s">
        <v>185</v>
      </c>
      <c r="D50" s="26">
        <f>SUM(D51:D52)</f>
        <v>5160</v>
      </c>
    </row>
    <row r="51" spans="2:4" x14ac:dyDescent="0.25">
      <c r="C51" s="38" t="s">
        <v>182</v>
      </c>
      <c r="D51" s="27">
        <v>5160</v>
      </c>
    </row>
    <row r="52" spans="2:4" x14ac:dyDescent="0.25">
      <c r="C52" s="38" t="s">
        <v>183</v>
      </c>
      <c r="D52" s="27">
        <v>0</v>
      </c>
    </row>
    <row r="53" spans="2:4" x14ac:dyDescent="0.25">
      <c r="D53" s="27"/>
    </row>
    <row r="54" spans="2:4" x14ac:dyDescent="0.25">
      <c r="C54" s="30" t="s">
        <v>186</v>
      </c>
      <c r="D54" s="26">
        <v>0</v>
      </c>
    </row>
    <row r="55" spans="2:4" x14ac:dyDescent="0.25">
      <c r="C55" s="38" t="s">
        <v>182</v>
      </c>
      <c r="D55" s="27">
        <v>0</v>
      </c>
    </row>
    <row r="56" spans="2:4" x14ac:dyDescent="0.25">
      <c r="C56" s="38" t="s">
        <v>183</v>
      </c>
      <c r="D56" s="27">
        <v>0</v>
      </c>
    </row>
    <row r="57" spans="2:4" x14ac:dyDescent="0.25">
      <c r="D57" s="27"/>
    </row>
    <row r="58" spans="2:4" x14ac:dyDescent="0.25">
      <c r="D58" s="27"/>
    </row>
    <row r="59" spans="2:4" x14ac:dyDescent="0.25">
      <c r="C59" s="39" t="s">
        <v>187</v>
      </c>
      <c r="D59" s="24">
        <f>D42+D46+D50+D54</f>
        <v>-154940.07</v>
      </c>
    </row>
    <row r="60" spans="2:4" x14ac:dyDescent="0.25">
      <c r="C60" s="28"/>
      <c r="D60" s="27"/>
    </row>
    <row r="61" spans="2:4" ht="15.75" customHeight="1" x14ac:dyDescent="0.25">
      <c r="B61" s="33" t="s">
        <v>188</v>
      </c>
      <c r="C61" s="33" t="s">
        <v>188</v>
      </c>
      <c r="D61" s="27"/>
    </row>
    <row r="62" spans="2:4" x14ac:dyDescent="0.25">
      <c r="B62" s="30"/>
      <c r="C62" s="30"/>
      <c r="D62" s="27"/>
    </row>
    <row r="63" spans="2:4" x14ac:dyDescent="0.25">
      <c r="B63" s="34" t="s">
        <v>189</v>
      </c>
      <c r="C63" s="34"/>
      <c r="D63" s="27"/>
    </row>
    <row r="64" spans="2:4" x14ac:dyDescent="0.25">
      <c r="C64" s="38" t="s">
        <v>190</v>
      </c>
      <c r="D64" s="27">
        <v>0</v>
      </c>
    </row>
    <row r="65" spans="1:5" x14ac:dyDescent="0.25">
      <c r="C65" s="38" t="s">
        <v>191</v>
      </c>
      <c r="D65" s="27">
        <v>0</v>
      </c>
    </row>
    <row r="66" spans="1:5" x14ac:dyDescent="0.25">
      <c r="C66" s="38" t="s">
        <v>192</v>
      </c>
      <c r="D66" s="27">
        <v>0</v>
      </c>
    </row>
    <row r="67" spans="1:5" x14ac:dyDescent="0.25">
      <c r="D67" s="27"/>
    </row>
    <row r="68" spans="1:5" x14ac:dyDescent="0.25">
      <c r="B68" s="34" t="s">
        <v>193</v>
      </c>
      <c r="C68" s="34" t="s">
        <v>193</v>
      </c>
      <c r="D68" s="27"/>
    </row>
    <row r="69" spans="1:5" x14ac:dyDescent="0.25">
      <c r="C69" s="38" t="s">
        <v>194</v>
      </c>
      <c r="D69" s="27">
        <v>0</v>
      </c>
    </row>
    <row r="70" spans="1:5" x14ac:dyDescent="0.25">
      <c r="C70" s="38" t="s">
        <v>195</v>
      </c>
      <c r="D70" s="27">
        <v>0</v>
      </c>
    </row>
    <row r="71" spans="1:5" x14ac:dyDescent="0.25">
      <c r="C71" s="38" t="s">
        <v>196</v>
      </c>
      <c r="D71" s="27">
        <v>0</v>
      </c>
    </row>
    <row r="72" spans="1:5" x14ac:dyDescent="0.25">
      <c r="C72" s="39" t="s">
        <v>197</v>
      </c>
      <c r="D72" s="24">
        <v>0</v>
      </c>
    </row>
    <row r="73" spans="1:5" x14ac:dyDescent="0.25">
      <c r="C73" s="28"/>
      <c r="D73" s="27"/>
    </row>
    <row r="74" spans="1:5" ht="15.75" customHeight="1" x14ac:dyDescent="0.25">
      <c r="A74" s="19"/>
      <c r="B74" s="32" t="s">
        <v>198</v>
      </c>
      <c r="C74" s="32" t="s">
        <v>198</v>
      </c>
      <c r="D74" s="24">
        <f>D38+D59+D72</f>
        <v>-104736.67000000004</v>
      </c>
      <c r="E74" s="40"/>
    </row>
    <row r="75" spans="1:5" x14ac:dyDescent="0.25">
      <c r="A75" s="19"/>
      <c r="B75" s="35"/>
      <c r="C75" s="36" t="s">
        <v>199</v>
      </c>
      <c r="D75" s="24">
        <v>776280.22</v>
      </c>
    </row>
    <row r="76" spans="1:5" x14ac:dyDescent="0.25">
      <c r="A76" s="19"/>
      <c r="B76" s="35"/>
      <c r="C76" s="36" t="s">
        <v>200</v>
      </c>
      <c r="D76" s="24">
        <f>D74+D75</f>
        <v>671543.54999999993</v>
      </c>
      <c r="E76" s="4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StatoPatrimoniale</vt:lpstr>
      <vt:lpstr>ContoEconomico</vt:lpstr>
      <vt:lpstr>Rendiconto Finanziario</vt:lpstr>
      <vt:lpstr>ContoEconomico!Area_stampa</vt:lpstr>
      <vt:lpstr>'Rendiconto Finanziario'!Area_stampa</vt:lpstr>
      <vt:lpstr>StatoPatrimoniale!Area_stampa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Catia Biliotti</cp:lastModifiedBy>
  <cp:lastPrinted>2019-05-23T09:30:33Z</cp:lastPrinted>
  <dcterms:created xsi:type="dcterms:W3CDTF">2015-07-14T19:28:16Z</dcterms:created>
  <dcterms:modified xsi:type="dcterms:W3CDTF">2019-05-28T07:59:21Z</dcterms:modified>
</cp:coreProperties>
</file>